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885" windowWidth="14805" windowHeight="7230" tabRatio="910" activeTab="4"/>
  </bookViews>
  <sheets>
    <sheet name="Тепло " sheetId="43" r:id="rId1"/>
    <sheet name="ПВ" sheetId="55" r:id="rId2"/>
    <sheet name="ТВ" sheetId="56" r:id="rId3"/>
    <sheet name="ГВ" sheetId="57" r:id="rId4"/>
    <sheet name="МВ" sheetId="58" r:id="rId5"/>
    <sheet name="форма ДАРЕМ" sheetId="59" state="hidden" r:id="rId6"/>
    <sheet name="доход 2019" sheetId="61" state="hidden" r:id="rId7"/>
  </sheets>
  <externalReferences>
    <externalReference r:id="rId8"/>
    <externalReference r:id="rId9"/>
    <externalReference r:id="rId10"/>
  </externalReferences>
  <definedNames>
    <definedName name="_xlnm.Print_Titles" localSheetId="3">ГВ!$7:$8</definedName>
    <definedName name="_xlnm.Print_Titles" localSheetId="1">ПВ!$8:$9</definedName>
    <definedName name="_xlnm.Print_Titles" localSheetId="2">ТВ!$11:$12</definedName>
    <definedName name="_xlnm.Print_Titles" localSheetId="0">'Тепло '!$10:$11</definedName>
    <definedName name="_xlnm.Print_Area" localSheetId="3">ГВ!$A$1:$F$60</definedName>
    <definedName name="_xlnm.Print_Area" localSheetId="1">ПВ!$A$1:$F$82</definedName>
    <definedName name="_xlnm.Print_Area" localSheetId="0">'Тепло '!$A$1:$F$73</definedName>
  </definedNames>
  <calcPr calcId="144525" iterate="1" iterateCount="1000" fullPrecision="0"/>
</workbook>
</file>

<file path=xl/calcChain.xml><?xml version="1.0" encoding="utf-8"?>
<calcChain xmlns="http://schemas.openxmlformats.org/spreadsheetml/2006/main">
  <c r="E46" i="58" l="1"/>
  <c r="E33" i="58" s="1"/>
  <c r="E29" i="58"/>
  <c r="E28" i="58"/>
  <c r="E27" i="58"/>
  <c r="E26" i="58"/>
  <c r="E24" i="58"/>
  <c r="E16" i="58"/>
  <c r="E13" i="58" s="1"/>
  <c r="E63" i="58"/>
  <c r="E25" i="58" l="1"/>
  <c r="E22" i="58" s="1"/>
  <c r="E12" i="58"/>
  <c r="E97" i="58" s="1"/>
  <c r="E51" i="57"/>
  <c r="E50" i="57"/>
  <c r="E49" i="57"/>
  <c r="E48" i="57"/>
  <c r="E46" i="57"/>
  <c r="E45" i="57"/>
  <c r="E44" i="57"/>
  <c r="E43" i="57"/>
  <c r="E41" i="57"/>
  <c r="E40" i="57"/>
  <c r="E39" i="57"/>
  <c r="E37" i="57"/>
  <c r="E36" i="57"/>
  <c r="E35" i="57"/>
  <c r="E33" i="57"/>
  <c r="E32" i="57"/>
  <c r="E31" i="57"/>
  <c r="E30" i="57"/>
  <c r="E28" i="57"/>
  <c r="E25" i="57"/>
  <c r="E17" i="57"/>
  <c r="E16" i="57"/>
  <c r="E15" i="57"/>
  <c r="E10" i="57" s="1"/>
  <c r="E24" i="57"/>
  <c r="E18" i="57"/>
  <c r="E76" i="56"/>
  <c r="E73" i="56"/>
  <c r="E72" i="56"/>
  <c r="E71" i="56"/>
  <c r="E70" i="56"/>
  <c r="E69" i="56"/>
  <c r="E14" i="56"/>
  <c r="E13" i="56"/>
  <c r="E67" i="56"/>
  <c r="E66" i="56"/>
  <c r="E65" i="56"/>
  <c r="E64" i="56"/>
  <c r="E62" i="56"/>
  <c r="E61" i="56"/>
  <c r="E60" i="56"/>
  <c r="E59" i="56"/>
  <c r="E57" i="56"/>
  <c r="E56" i="56"/>
  <c r="E55" i="56"/>
  <c r="E54" i="56"/>
  <c r="E53" i="56"/>
  <c r="E52" i="56"/>
  <c r="E51" i="56"/>
  <c r="E49" i="56"/>
  <c r="E48" i="56"/>
  <c r="E47" i="56"/>
  <c r="E46" i="56"/>
  <c r="E44" i="56"/>
  <c r="E41" i="56"/>
  <c r="E40" i="56"/>
  <c r="E39" i="56"/>
  <c r="E38" i="56"/>
  <c r="E37" i="56"/>
  <c r="E36" i="56"/>
  <c r="E35" i="56"/>
  <c r="E34" i="56"/>
  <c r="E33" i="56"/>
  <c r="E31" i="56"/>
  <c r="E30" i="56"/>
  <c r="E29" i="56"/>
  <c r="E28" i="56"/>
  <c r="E27" i="56"/>
  <c r="E26" i="56"/>
  <c r="E25" i="56"/>
  <c r="E23" i="56"/>
  <c r="E21" i="56"/>
  <c r="E20" i="56"/>
  <c r="E17" i="56"/>
  <c r="E15" i="56"/>
  <c r="E26" i="55"/>
  <c r="E50" i="55"/>
  <c r="E34" i="57" l="1"/>
  <c r="E27" i="57" s="1"/>
  <c r="E26" i="57" s="1"/>
  <c r="E29" i="57"/>
  <c r="E9" i="57"/>
  <c r="E68" i="56"/>
  <c r="E50" i="56"/>
  <c r="E43" i="56" s="1"/>
  <c r="E42" i="56" s="1"/>
  <c r="E78" i="56" s="1"/>
  <c r="E45" i="56"/>
  <c r="E32" i="56"/>
  <c r="E24" i="56"/>
  <c r="E22" i="56" s="1"/>
  <c r="E19" i="56"/>
  <c r="E74" i="55"/>
  <c r="E71" i="55"/>
  <c r="E68" i="55" s="1"/>
  <c r="E66" i="55" s="1"/>
  <c r="E70" i="55"/>
  <c r="E69" i="55"/>
  <c r="E67" i="55"/>
  <c r="E65" i="55"/>
  <c r="E64" i="55"/>
  <c r="E63" i="55"/>
  <c r="E62" i="55"/>
  <c r="E60" i="55"/>
  <c r="E59" i="55"/>
  <c r="E58" i="55"/>
  <c r="E57" i="55"/>
  <c r="E55" i="55"/>
  <c r="E54" i="55"/>
  <c r="E53" i="55"/>
  <c r="E52" i="55"/>
  <c r="E51" i="55"/>
  <c r="E49" i="55"/>
  <c r="E47" i="55"/>
  <c r="E46" i="55"/>
  <c r="E45" i="55"/>
  <c r="E44" i="55"/>
  <c r="E42" i="55"/>
  <c r="E39" i="55"/>
  <c r="E38" i="55"/>
  <c r="E37" i="55"/>
  <c r="E36" i="55"/>
  <c r="E35" i="55"/>
  <c r="E34" i="55"/>
  <c r="E33" i="55"/>
  <c r="E32" i="55"/>
  <c r="E31" i="55"/>
  <c r="E27" i="55"/>
  <c r="E25" i="55"/>
  <c r="E24" i="55"/>
  <c r="E23" i="55"/>
  <c r="E21" i="55"/>
  <c r="E19" i="55"/>
  <c r="E18" i="55"/>
  <c r="E17" i="55"/>
  <c r="E14" i="55"/>
  <c r="E12" i="55"/>
  <c r="D48" i="55"/>
  <c r="E53" i="57" l="1"/>
  <c r="E48" i="55"/>
  <c r="E41" i="55" s="1"/>
  <c r="E40" i="55" s="1"/>
  <c r="E43" i="55"/>
  <c r="E30" i="55"/>
  <c r="E22" i="55"/>
  <c r="E20" i="55" s="1"/>
  <c r="E16" i="55"/>
  <c r="E11" i="55" s="1"/>
  <c r="E45" i="43"/>
  <c r="E10" i="55" l="1"/>
  <c r="E76" i="55" s="1"/>
  <c r="E62" i="43"/>
  <c r="E52" i="43"/>
  <c r="E22" i="43" l="1"/>
  <c r="E18" i="43"/>
  <c r="E13" i="43" s="1"/>
  <c r="E12" i="43" s="1"/>
  <c r="BJ48" i="61"/>
  <c r="BD48" i="61"/>
  <c r="BJ47" i="61"/>
  <c r="BD47" i="61"/>
  <c r="BJ46" i="61"/>
  <c r="BD46" i="61"/>
  <c r="BJ45" i="61"/>
  <c r="BD45" i="61"/>
  <c r="BJ44" i="61"/>
  <c r="BD44" i="61"/>
  <c r="BJ43" i="61"/>
  <c r="BD43" i="61"/>
  <c r="BJ42" i="61"/>
  <c r="BD42" i="61"/>
  <c r="BJ41" i="61"/>
  <c r="BD41" i="61"/>
  <c r="BA38" i="61"/>
  <c r="AX38" i="61"/>
  <c r="AU38" i="61"/>
  <c r="AL38" i="61"/>
  <c r="AI38" i="61"/>
  <c r="AF38" i="61"/>
  <c r="AC38" i="61"/>
  <c r="Z38" i="61"/>
  <c r="T38" i="61"/>
  <c r="Q38" i="61"/>
  <c r="N38" i="61"/>
  <c r="K38" i="61"/>
  <c r="H38" i="61"/>
  <c r="E38" i="61"/>
  <c r="BH24" i="61"/>
  <c r="BE24" i="61"/>
  <c r="AY24" i="61"/>
  <c r="AV24" i="61"/>
  <c r="AS24" i="61"/>
  <c r="AP24" i="61"/>
  <c r="AJ24" i="61"/>
  <c r="AG24" i="61"/>
  <c r="AD24" i="61"/>
  <c r="AA24" i="61"/>
  <c r="U24" i="61"/>
  <c r="R24" i="61"/>
  <c r="O24" i="61"/>
  <c r="I24" i="61"/>
  <c r="F24" i="61"/>
  <c r="C24" i="61"/>
  <c r="BA17" i="61"/>
  <c r="BA35" i="61" s="1"/>
  <c r="AY17" i="61"/>
  <c r="AY35" i="61" s="1"/>
  <c r="AX17" i="61"/>
  <c r="AX35" i="61" s="1"/>
  <c r="AV17" i="61"/>
  <c r="AV35" i="61" s="1"/>
  <c r="AU17" i="61"/>
  <c r="AU35" i="61" s="1"/>
  <c r="AS17" i="61"/>
  <c r="AS35" i="61" s="1"/>
  <c r="AL17" i="61"/>
  <c r="AL35" i="61" s="1"/>
  <c r="AJ17" i="61"/>
  <c r="AJ35" i="61" s="1"/>
  <c r="AI17" i="61"/>
  <c r="AI35" i="61" s="1"/>
  <c r="AG17" i="61"/>
  <c r="AG35" i="61" s="1"/>
  <c r="AF17" i="61"/>
  <c r="AF35" i="61" s="1"/>
  <c r="AD17" i="61"/>
  <c r="AD35" i="61" s="1"/>
  <c r="W17" i="61"/>
  <c r="W35" i="61" s="1"/>
  <c r="U17" i="61"/>
  <c r="U35" i="61" s="1"/>
  <c r="T17" i="61"/>
  <c r="T35" i="61" s="1"/>
  <c r="R17" i="61"/>
  <c r="R35" i="61" s="1"/>
  <c r="Q17" i="61"/>
  <c r="Q35" i="61" s="1"/>
  <c r="O17" i="61"/>
  <c r="O35" i="61" s="1"/>
  <c r="K17" i="61"/>
  <c r="K35" i="61" s="1"/>
  <c r="I17" i="61"/>
  <c r="I35" i="61" s="1"/>
  <c r="H17" i="61"/>
  <c r="H35" i="61" s="1"/>
  <c r="F17" i="61"/>
  <c r="F35" i="61" s="1"/>
  <c r="E17" i="61"/>
  <c r="E35" i="61" s="1"/>
  <c r="C17" i="61"/>
  <c r="C35" i="61" s="1"/>
  <c r="BA16" i="61"/>
  <c r="BA34" i="61" s="1"/>
  <c r="AY16" i="61"/>
  <c r="AY34" i="61" s="1"/>
  <c r="AY33" i="61" s="1"/>
  <c r="AX16" i="61"/>
  <c r="AX34" i="61" s="1"/>
  <c r="AV16" i="61"/>
  <c r="AV34" i="61" s="1"/>
  <c r="AV33" i="61" s="1"/>
  <c r="AU16" i="61"/>
  <c r="AU34" i="61" s="1"/>
  <c r="AS16" i="61"/>
  <c r="AS34" i="61" s="1"/>
  <c r="AL16" i="61"/>
  <c r="AL34" i="61" s="1"/>
  <c r="AJ16" i="61"/>
  <c r="AJ34" i="61" s="1"/>
  <c r="AJ33" i="61" s="1"/>
  <c r="AI16" i="61"/>
  <c r="AI34" i="61" s="1"/>
  <c r="AG16" i="61"/>
  <c r="AG34" i="61" s="1"/>
  <c r="AF16" i="61"/>
  <c r="AF34" i="61" s="1"/>
  <c r="AD16" i="61"/>
  <c r="AD34" i="61" s="1"/>
  <c r="W16" i="61"/>
  <c r="W34" i="61" s="1"/>
  <c r="U16" i="61"/>
  <c r="U34" i="61" s="1"/>
  <c r="T16" i="61"/>
  <c r="T34" i="61" s="1"/>
  <c r="R16" i="61"/>
  <c r="R34" i="61" s="1"/>
  <c r="R33" i="61" s="1"/>
  <c r="Q16" i="61"/>
  <c r="Q34" i="61" s="1"/>
  <c r="O16" i="61"/>
  <c r="O34" i="61" s="1"/>
  <c r="K16" i="61"/>
  <c r="K34" i="61" s="1"/>
  <c r="I16" i="61"/>
  <c r="I34" i="61" s="1"/>
  <c r="H16" i="61"/>
  <c r="H34" i="61" s="1"/>
  <c r="F16" i="61"/>
  <c r="F34" i="61" s="1"/>
  <c r="F33" i="61" s="1"/>
  <c r="E16" i="61"/>
  <c r="E34" i="61" s="1"/>
  <c r="C16" i="61"/>
  <c r="C34" i="61" s="1"/>
  <c r="BA15" i="61"/>
  <c r="AY15" i="61"/>
  <c r="AU15" i="61"/>
  <c r="AS15" i="61"/>
  <c r="AI15" i="61"/>
  <c r="AG15" i="61"/>
  <c r="AF15" i="61"/>
  <c r="W15" i="61"/>
  <c r="U15" i="61"/>
  <c r="T15" i="61"/>
  <c r="Q15" i="61"/>
  <c r="K15" i="61"/>
  <c r="I15" i="61"/>
  <c r="H15" i="61"/>
  <c r="E15" i="61"/>
  <c r="BA14" i="61"/>
  <c r="BA32" i="61" s="1"/>
  <c r="AY14" i="61"/>
  <c r="AY32" i="61" s="1"/>
  <c r="AX14" i="61"/>
  <c r="AX32" i="61" s="1"/>
  <c r="AW32" i="61" s="1"/>
  <c r="AV14" i="61"/>
  <c r="AV32" i="61" s="1"/>
  <c r="AU14" i="61"/>
  <c r="AU32" i="61" s="1"/>
  <c r="AS14" i="61"/>
  <c r="AS32" i="61" s="1"/>
  <c r="BB32" i="61" s="1"/>
  <c r="AL14" i="61"/>
  <c r="AL32" i="61" s="1"/>
  <c r="AJ14" i="61"/>
  <c r="AJ32" i="61" s="1"/>
  <c r="AI14" i="61"/>
  <c r="AI32" i="61" s="1"/>
  <c r="AG14" i="61"/>
  <c r="AG32" i="61" s="1"/>
  <c r="AF14" i="61"/>
  <c r="AF32" i="61" s="1"/>
  <c r="AD14" i="61"/>
  <c r="AD32" i="61" s="1"/>
  <c r="W14" i="61"/>
  <c r="W32" i="61" s="1"/>
  <c r="U14" i="61"/>
  <c r="U32" i="61" s="1"/>
  <c r="T14" i="61"/>
  <c r="T32" i="61" s="1"/>
  <c r="R14" i="61"/>
  <c r="R32" i="61" s="1"/>
  <c r="Q14" i="61"/>
  <c r="Q32" i="61" s="1"/>
  <c r="O14" i="61"/>
  <c r="O32" i="61" s="1"/>
  <c r="K14" i="61"/>
  <c r="K32" i="61" s="1"/>
  <c r="I14" i="61"/>
  <c r="I32" i="61" s="1"/>
  <c r="H14" i="61"/>
  <c r="H32" i="61" s="1"/>
  <c r="F14" i="61"/>
  <c r="F32" i="61" s="1"/>
  <c r="E14" i="61"/>
  <c r="E32" i="61" s="1"/>
  <c r="C14" i="61"/>
  <c r="C32" i="61" s="1"/>
  <c r="BA13" i="61"/>
  <c r="BA31" i="61" s="1"/>
  <c r="AY13" i="61"/>
  <c r="AY31" i="61" s="1"/>
  <c r="AX13" i="61"/>
  <c r="AX31" i="61" s="1"/>
  <c r="AW31" i="61" s="1"/>
  <c r="AV13" i="61"/>
  <c r="AV31" i="61" s="1"/>
  <c r="AU13" i="61"/>
  <c r="AU31" i="61" s="1"/>
  <c r="AS13" i="61"/>
  <c r="AS31" i="61" s="1"/>
  <c r="AL13" i="61"/>
  <c r="AL31" i="61" s="1"/>
  <c r="AJ13" i="61"/>
  <c r="AJ31" i="61" s="1"/>
  <c r="AI13" i="61"/>
  <c r="AG13" i="61"/>
  <c r="AG31" i="61" s="1"/>
  <c r="AF13" i="61"/>
  <c r="AF31" i="61" s="1"/>
  <c r="AD13" i="61"/>
  <c r="AD31" i="61" s="1"/>
  <c r="W13" i="61"/>
  <c r="U13" i="61"/>
  <c r="U31" i="61" s="1"/>
  <c r="T13" i="61"/>
  <c r="T31" i="61" s="1"/>
  <c r="R13" i="61"/>
  <c r="R31" i="61" s="1"/>
  <c r="Q13" i="61"/>
  <c r="Q31" i="61" s="1"/>
  <c r="O13" i="61"/>
  <c r="K13" i="61"/>
  <c r="I13" i="61"/>
  <c r="I31" i="61" s="1"/>
  <c r="H13" i="61"/>
  <c r="H31" i="61" s="1"/>
  <c r="F13" i="61"/>
  <c r="F31" i="61" s="1"/>
  <c r="E13" i="61"/>
  <c r="C13" i="61"/>
  <c r="BA12" i="61"/>
  <c r="BA30" i="61" s="1"/>
  <c r="AY12" i="61"/>
  <c r="AY30" i="61" s="1"/>
  <c r="AX12" i="61"/>
  <c r="AX30" i="61" s="1"/>
  <c r="AV12" i="61"/>
  <c r="AU12" i="61"/>
  <c r="AS12" i="61"/>
  <c r="AS30" i="61" s="1"/>
  <c r="AL12" i="61"/>
  <c r="AJ12" i="61"/>
  <c r="AJ30" i="61" s="1"/>
  <c r="AI12" i="61"/>
  <c r="AI30" i="61" s="1"/>
  <c r="AG12" i="61"/>
  <c r="AG30" i="61" s="1"/>
  <c r="AF12" i="61"/>
  <c r="AD12" i="61"/>
  <c r="W12" i="61"/>
  <c r="W30" i="61" s="1"/>
  <c r="U12" i="61"/>
  <c r="U30" i="61" s="1"/>
  <c r="T12" i="61"/>
  <c r="T30" i="61" s="1"/>
  <c r="R12" i="61"/>
  <c r="R30" i="61" s="1"/>
  <c r="Q12" i="61"/>
  <c r="Q30" i="61" s="1"/>
  <c r="O12" i="61"/>
  <c r="O30" i="61" s="1"/>
  <c r="K12" i="61"/>
  <c r="K30" i="61" s="1"/>
  <c r="I12" i="61"/>
  <c r="I30" i="61" s="1"/>
  <c r="H12" i="61"/>
  <c r="H30" i="61" s="1"/>
  <c r="F12" i="61"/>
  <c r="F30" i="61" s="1"/>
  <c r="E12" i="61"/>
  <c r="E30" i="61" s="1"/>
  <c r="C12" i="61"/>
  <c r="C30" i="61" s="1"/>
  <c r="BA11" i="61"/>
  <c r="BA29" i="61" s="1"/>
  <c r="AY11" i="61"/>
  <c r="AY29" i="61" s="1"/>
  <c r="AX11" i="61"/>
  <c r="AX29" i="61" s="1"/>
  <c r="AV11" i="61"/>
  <c r="AV29" i="61" s="1"/>
  <c r="AU11" i="61"/>
  <c r="AS11" i="61"/>
  <c r="AL11" i="61"/>
  <c r="AL29" i="61" s="1"/>
  <c r="AJ11" i="61"/>
  <c r="AJ29" i="61" s="1"/>
  <c r="AI11" i="61"/>
  <c r="AG11" i="61"/>
  <c r="AG29" i="61" s="1"/>
  <c r="AF11" i="61"/>
  <c r="AF29" i="61" s="1"/>
  <c r="AD11" i="61"/>
  <c r="AD29" i="61" s="1"/>
  <c r="W11" i="61"/>
  <c r="U11" i="61"/>
  <c r="U29" i="61" s="1"/>
  <c r="T11" i="61"/>
  <c r="T29" i="61" s="1"/>
  <c r="R11" i="61"/>
  <c r="R29" i="61" s="1"/>
  <c r="Q11" i="61"/>
  <c r="O11" i="61"/>
  <c r="O29" i="61" s="1"/>
  <c r="X29" i="61" s="1"/>
  <c r="K11" i="61"/>
  <c r="I11" i="61"/>
  <c r="I29" i="61" s="1"/>
  <c r="H11" i="61"/>
  <c r="H29" i="61" s="1"/>
  <c r="F11" i="61"/>
  <c r="F29" i="61" s="1"/>
  <c r="E11" i="61"/>
  <c r="C11" i="61"/>
  <c r="C29" i="61" s="1"/>
  <c r="BA10" i="61"/>
  <c r="BA28" i="61" s="1"/>
  <c r="AY10" i="61"/>
  <c r="AY28" i="61" s="1"/>
  <c r="AX10" i="61"/>
  <c r="AX28" i="61" s="1"/>
  <c r="AV10" i="61"/>
  <c r="AV28" i="61" s="1"/>
  <c r="AU10" i="61"/>
  <c r="AU28" i="61" s="1"/>
  <c r="AS10" i="61"/>
  <c r="AS28" i="61" s="1"/>
  <c r="AL10" i="61"/>
  <c r="AL28" i="61" s="1"/>
  <c r="AJ10" i="61"/>
  <c r="AJ28" i="61" s="1"/>
  <c r="AI10" i="61"/>
  <c r="AI28" i="61" s="1"/>
  <c r="AG10" i="61"/>
  <c r="AG28" i="61" s="1"/>
  <c r="AF10" i="61"/>
  <c r="AD10" i="61"/>
  <c r="W10" i="61"/>
  <c r="W28" i="61" s="1"/>
  <c r="U10" i="61"/>
  <c r="U28" i="61" s="1"/>
  <c r="T10" i="61"/>
  <c r="R10" i="61"/>
  <c r="R28" i="61" s="1"/>
  <c r="Q10" i="61"/>
  <c r="Q28" i="61" s="1"/>
  <c r="O10" i="61"/>
  <c r="O28" i="61" s="1"/>
  <c r="K10" i="61"/>
  <c r="K28" i="61" s="1"/>
  <c r="I10" i="61"/>
  <c r="I28" i="61" s="1"/>
  <c r="H10" i="61"/>
  <c r="H28" i="61" s="1"/>
  <c r="F10" i="61"/>
  <c r="F28" i="61" s="1"/>
  <c r="E10" i="61"/>
  <c r="E28" i="61" s="1"/>
  <c r="C10" i="61"/>
  <c r="BA9" i="61"/>
  <c r="BA27" i="61" s="1"/>
  <c r="AY9" i="61"/>
  <c r="AY27" i="61" s="1"/>
  <c r="AX9" i="61"/>
  <c r="AX27" i="61" s="1"/>
  <c r="AV9" i="61"/>
  <c r="AV27" i="61" s="1"/>
  <c r="AU9" i="61"/>
  <c r="AU27" i="61" s="1"/>
  <c r="AS9" i="61"/>
  <c r="AS27" i="61" s="1"/>
  <c r="AL9" i="61"/>
  <c r="AL27" i="61" s="1"/>
  <c r="AJ9" i="61"/>
  <c r="AJ27" i="61" s="1"/>
  <c r="AI9" i="61"/>
  <c r="AI27" i="61" s="1"/>
  <c r="AG9" i="61"/>
  <c r="AG27" i="61" s="1"/>
  <c r="AF9" i="61"/>
  <c r="AF27" i="61" s="1"/>
  <c r="AD9" i="61"/>
  <c r="AD27" i="61" s="1"/>
  <c r="W9" i="61"/>
  <c r="W27" i="61" s="1"/>
  <c r="U9" i="61"/>
  <c r="U27" i="61" s="1"/>
  <c r="T9" i="61"/>
  <c r="T27" i="61" s="1"/>
  <c r="R9" i="61"/>
  <c r="R27" i="61" s="1"/>
  <c r="Q9" i="61"/>
  <c r="O9" i="61"/>
  <c r="K9" i="61"/>
  <c r="K27" i="61" s="1"/>
  <c r="I9" i="61"/>
  <c r="I27" i="61" s="1"/>
  <c r="H9" i="61"/>
  <c r="H27" i="61" s="1"/>
  <c r="F9" i="61"/>
  <c r="F27" i="61" s="1"/>
  <c r="E9" i="61"/>
  <c r="E27" i="61" s="1"/>
  <c r="C9" i="61"/>
  <c r="C27" i="61" s="1"/>
  <c r="BA8" i="61"/>
  <c r="AF8" i="61"/>
  <c r="W8" i="61"/>
  <c r="W5" i="61" s="1"/>
  <c r="K8" i="61"/>
  <c r="E61" i="43"/>
  <c r="E60" i="43"/>
  <c r="E59" i="43"/>
  <c r="E57" i="43"/>
  <c r="E56" i="43"/>
  <c r="E55" i="43"/>
  <c r="E54" i="43"/>
  <c r="E51" i="43"/>
  <c r="E50" i="43"/>
  <c r="E49" i="43"/>
  <c r="E48" i="43"/>
  <c r="E47" i="43"/>
  <c r="E46" i="43"/>
  <c r="E44" i="43"/>
  <c r="E43" i="43"/>
  <c r="E42" i="43"/>
  <c r="E41" i="43"/>
  <c r="E39" i="43"/>
  <c r="E36" i="43"/>
  <c r="E35" i="43"/>
  <c r="E34" i="43"/>
  <c r="E33" i="43"/>
  <c r="E29" i="43"/>
  <c r="E27" i="43"/>
  <c r="E28" i="43"/>
  <c r="E24" i="43" s="1"/>
  <c r="E26" i="43"/>
  <c r="E25" i="43"/>
  <c r="E23" i="43"/>
  <c r="E21" i="43"/>
  <c r="E20" i="43"/>
  <c r="E19" i="43"/>
  <c r="E17" i="43"/>
  <c r="E16" i="43"/>
  <c r="E14" i="43"/>
  <c r="H1184" i="59"/>
  <c r="G1184" i="59"/>
  <c r="F1184" i="59"/>
  <c r="E1184" i="59"/>
  <c r="D1184" i="59"/>
  <c r="I1184" i="59" s="1"/>
  <c r="C1059" i="59"/>
  <c r="C1017" i="59"/>
  <c r="C1007" i="59"/>
  <c r="C1000" i="59"/>
  <c r="J867" i="59" s="1"/>
  <c r="C995" i="59"/>
  <c r="C978" i="59"/>
  <c r="C972" i="59"/>
  <c r="C966" i="59"/>
  <c r="C951" i="59"/>
  <c r="C947" i="59"/>
  <c r="C940" i="59"/>
  <c r="J913" i="59"/>
  <c r="J912" i="59"/>
  <c r="J909" i="59"/>
  <c r="J908" i="59"/>
  <c r="J907" i="59"/>
  <c r="J906" i="59"/>
  <c r="J905" i="59"/>
  <c r="J904" i="59"/>
  <c r="J903" i="59"/>
  <c r="J880" i="59"/>
  <c r="J879" i="59"/>
  <c r="J876" i="59"/>
  <c r="J875" i="59"/>
  <c r="J874" i="59"/>
  <c r="J873" i="59"/>
  <c r="J872" i="59"/>
  <c r="J871" i="59"/>
  <c r="J869" i="59" s="1"/>
  <c r="J868" i="59"/>
  <c r="J866" i="59"/>
  <c r="J865" i="59"/>
  <c r="J864" i="59"/>
  <c r="J863" i="59"/>
  <c r="J862" i="59"/>
  <c r="J861" i="59"/>
  <c r="J860" i="59"/>
  <c r="J858" i="59" s="1"/>
  <c r="J857" i="59"/>
  <c r="J856" i="59"/>
  <c r="J855" i="59"/>
  <c r="J854" i="59"/>
  <c r="J853" i="59"/>
  <c r="J852" i="59"/>
  <c r="J851" i="59"/>
  <c r="J850" i="59"/>
  <c r="J849" i="59"/>
  <c r="J848" i="59"/>
  <c r="J847" i="59"/>
  <c r="J845" i="59" s="1"/>
  <c r="J844" i="59"/>
  <c r="J843" i="59"/>
  <c r="J842" i="59"/>
  <c r="J841" i="59"/>
  <c r="J840" i="59"/>
  <c r="E699" i="59"/>
  <c r="E679" i="59"/>
  <c r="F675" i="59"/>
  <c r="E672" i="59"/>
  <c r="E624" i="59"/>
  <c r="E572" i="59"/>
  <c r="E553" i="59"/>
  <c r="E547" i="59"/>
  <c r="F546" i="59" s="1"/>
  <c r="E546" i="59"/>
  <c r="E545" i="59"/>
  <c r="E532" i="59"/>
  <c r="E531" i="59"/>
  <c r="F528" i="59"/>
  <c r="E528" i="59"/>
  <c r="E527" i="59"/>
  <c r="E524" i="59"/>
  <c r="E522" i="59"/>
  <c r="E521" i="59"/>
  <c r="F511" i="59"/>
  <c r="E511" i="59"/>
  <c r="E468" i="59"/>
  <c r="E416" i="59"/>
  <c r="F379" i="59"/>
  <c r="F377" i="59"/>
  <c r="E377" i="59"/>
  <c r="E374" i="59"/>
  <c r="F371" i="59"/>
  <c r="E371" i="59"/>
  <c r="E370" i="59"/>
  <c r="E367" i="59"/>
  <c r="E365" i="59"/>
  <c r="E364" i="59"/>
  <c r="E363" i="59"/>
  <c r="F353" i="59"/>
  <c r="E353" i="59"/>
  <c r="E310" i="59"/>
  <c r="G306" i="59"/>
  <c r="E305" i="59"/>
  <c r="E302" i="59"/>
  <c r="E301" i="59"/>
  <c r="E299" i="59"/>
  <c r="E298" i="59"/>
  <c r="E296" i="59"/>
  <c r="E295" i="59"/>
  <c r="E294" i="59"/>
  <c r="E292" i="59"/>
  <c r="E290" i="59"/>
  <c r="E288" i="59"/>
  <c r="E287" i="59"/>
  <c r="E286" i="59"/>
  <c r="E285" i="59"/>
  <c r="E284" i="59"/>
  <c r="J281" i="59"/>
  <c r="E281" i="59"/>
  <c r="E279" i="59"/>
  <c r="E278" i="59"/>
  <c r="E277" i="59"/>
  <c r="E276" i="59"/>
  <c r="E275" i="59"/>
  <c r="E274" i="59"/>
  <c r="E273" i="59"/>
  <c r="E272" i="59"/>
  <c r="E271" i="59"/>
  <c r="E268" i="59"/>
  <c r="E267" i="59"/>
  <c r="E265" i="59"/>
  <c r="E264" i="59"/>
  <c r="E263" i="59"/>
  <c r="E262" i="59"/>
  <c r="E259" i="59"/>
  <c r="F218" i="59"/>
  <c r="E218" i="59"/>
  <c r="E214" i="59"/>
  <c r="F211" i="59"/>
  <c r="E211" i="59"/>
  <c r="E210" i="59"/>
  <c r="E207" i="59"/>
  <c r="E205" i="59"/>
  <c r="E204" i="59"/>
  <c r="F195" i="59"/>
  <c r="E195" i="59"/>
  <c r="E183" i="59"/>
  <c r="E182" i="59"/>
  <c r="E180" i="59"/>
  <c r="E179" i="59"/>
  <c r="E172" i="59"/>
  <c r="E169" i="59"/>
  <c r="E134" i="59"/>
  <c r="E133" i="59"/>
  <c r="E130" i="59"/>
  <c r="E115" i="59"/>
  <c r="E113" i="59"/>
  <c r="E112" i="59"/>
  <c r="E111" i="59"/>
  <c r="E110" i="59"/>
  <c r="E109" i="59"/>
  <c r="E106" i="59"/>
  <c r="E104" i="59"/>
  <c r="E103" i="59"/>
  <c r="E102" i="59"/>
  <c r="E101" i="59"/>
  <c r="E100" i="59"/>
  <c r="E99" i="59"/>
  <c r="E98" i="59"/>
  <c r="E97" i="59"/>
  <c r="E94" i="59"/>
  <c r="E93" i="59"/>
  <c r="E92" i="59"/>
  <c r="E91" i="59"/>
  <c r="E90" i="59"/>
  <c r="E89" i="59"/>
  <c r="E88" i="59"/>
  <c r="E85" i="59"/>
  <c r="E82" i="59"/>
  <c r="E79" i="59"/>
  <c r="E61" i="59"/>
  <c r="F60" i="59"/>
  <c r="K45" i="59"/>
  <c r="E83" i="59" s="1"/>
  <c r="K39" i="59"/>
  <c r="E40" i="59" s="1"/>
  <c r="E31" i="59"/>
  <c r="E29" i="59"/>
  <c r="E23" i="59"/>
  <c r="E22" i="59"/>
  <c r="E20" i="59"/>
  <c r="E17" i="59"/>
  <c r="E16" i="59"/>
  <c r="E15" i="59"/>
  <c r="E14" i="59"/>
  <c r="E12" i="59"/>
  <c r="E11" i="59"/>
  <c r="E10" i="59"/>
  <c r="E8" i="59"/>
  <c r="T8" i="61" l="1"/>
  <c r="T5" i="61" s="1"/>
  <c r="O15" i="61"/>
  <c r="AM35" i="61"/>
  <c r="AZ15" i="61"/>
  <c r="H8" i="61"/>
  <c r="H5" i="61" s="1"/>
  <c r="AE12" i="61"/>
  <c r="AA13" i="61"/>
  <c r="AM31" i="61"/>
  <c r="C15" i="61"/>
  <c r="AV15" i="61"/>
  <c r="AW35" i="61"/>
  <c r="AI8" i="61"/>
  <c r="AJ15" i="61"/>
  <c r="X35" i="61"/>
  <c r="BB35" i="61"/>
  <c r="AU8" i="61"/>
  <c r="AZ35" i="61"/>
  <c r="P9" i="61"/>
  <c r="J30" i="61"/>
  <c r="S12" i="61"/>
  <c r="G11" i="61"/>
  <c r="X30" i="61"/>
  <c r="D15" i="61"/>
  <c r="AK9" i="61"/>
  <c r="G29" i="61"/>
  <c r="V30" i="61"/>
  <c r="BB28" i="61"/>
  <c r="S29" i="61"/>
  <c r="AE11" i="61"/>
  <c r="V12" i="61"/>
  <c r="AC13" i="61"/>
  <c r="S13" i="61"/>
  <c r="AM32" i="61"/>
  <c r="G17" i="61"/>
  <c r="AH17" i="61"/>
  <c r="J10" i="61"/>
  <c r="V15" i="61"/>
  <c r="AK28" i="61"/>
  <c r="AZ29" i="61"/>
  <c r="AT14" i="61"/>
  <c r="AZ16" i="61"/>
  <c r="P11" i="61"/>
  <c r="Z12" i="61"/>
  <c r="AK32" i="61"/>
  <c r="BB14" i="61"/>
  <c r="AT15" i="61"/>
  <c r="J35" i="61"/>
  <c r="Z17" i="61"/>
  <c r="AK35" i="61"/>
  <c r="BE10" i="61"/>
  <c r="D11" i="61"/>
  <c r="D12" i="61"/>
  <c r="AH30" i="61"/>
  <c r="G13" i="61"/>
  <c r="AE13" i="61"/>
  <c r="N14" i="61"/>
  <c r="Z14" i="61"/>
  <c r="AH14" i="61"/>
  <c r="J15" i="61"/>
  <c r="AH15" i="61"/>
  <c r="D16" i="61"/>
  <c r="P16" i="61"/>
  <c r="BD16" i="61"/>
  <c r="S9" i="61"/>
  <c r="AO9" i="61"/>
  <c r="AW9" i="61"/>
  <c r="G28" i="61"/>
  <c r="AK10" i="61"/>
  <c r="AZ28" i="61"/>
  <c r="S11" i="61"/>
  <c r="AZ11" i="61"/>
  <c r="J12" i="61"/>
  <c r="AK31" i="61"/>
  <c r="V17" i="61"/>
  <c r="AE17" i="61"/>
  <c r="AH35" i="61"/>
  <c r="AT17" i="61"/>
  <c r="G9" i="61"/>
  <c r="AE9" i="61"/>
  <c r="BB27" i="61"/>
  <c r="D10" i="61"/>
  <c r="P10" i="61"/>
  <c r="AW10" i="61"/>
  <c r="BD10" i="61"/>
  <c r="AM13" i="61"/>
  <c r="J14" i="61"/>
  <c r="V14" i="61"/>
  <c r="AZ32" i="61"/>
  <c r="P15" i="61"/>
  <c r="L16" i="61"/>
  <c r="X16" i="61"/>
  <c r="V35" i="61"/>
  <c r="AP13" i="61"/>
  <c r="BH13" i="61"/>
  <c r="J9" i="61"/>
  <c r="N9" i="61"/>
  <c r="V9" i="61"/>
  <c r="Z9" i="61"/>
  <c r="AM27" i="61"/>
  <c r="AH9" i="61"/>
  <c r="AK27" i="61"/>
  <c r="AT9" i="61"/>
  <c r="AW27" i="61"/>
  <c r="BB9" i="61"/>
  <c r="N28" i="61"/>
  <c r="P28" i="61"/>
  <c r="V10" i="61"/>
  <c r="Z10" i="61"/>
  <c r="AF28" i="61"/>
  <c r="BG10" i="61"/>
  <c r="E67" i="43" s="1"/>
  <c r="AE10" i="61"/>
  <c r="AO10" i="61"/>
  <c r="AT10" i="61"/>
  <c r="AW28" i="61"/>
  <c r="BB10" i="61"/>
  <c r="W29" i="61"/>
  <c r="V29" i="61" s="1"/>
  <c r="V11" i="61"/>
  <c r="AE29" i="61"/>
  <c r="AK11" i="61"/>
  <c r="AO11" i="61"/>
  <c r="AU29" i="61"/>
  <c r="AT11" i="61"/>
  <c r="BD11" i="61"/>
  <c r="N12" i="61"/>
  <c r="AA12" i="61"/>
  <c r="AF30" i="61"/>
  <c r="AO12" i="61"/>
  <c r="AU30" i="61"/>
  <c r="AT12" i="61"/>
  <c r="AZ12" i="61"/>
  <c r="BG12" i="61"/>
  <c r="E81" i="56" s="1"/>
  <c r="E79" i="56" s="1"/>
  <c r="K31" i="61"/>
  <c r="J31" i="61" s="1"/>
  <c r="N13" i="61"/>
  <c r="J13" i="61"/>
  <c r="L27" i="61"/>
  <c r="J27" i="61"/>
  <c r="O27" i="61"/>
  <c r="X27" i="61" s="1"/>
  <c r="V27" i="61"/>
  <c r="AA9" i="61"/>
  <c r="AH27" i="61"/>
  <c r="AM9" i="61"/>
  <c r="AN9" i="61" s="1"/>
  <c r="BD27" i="61"/>
  <c r="AT27" i="61"/>
  <c r="BG9" i="61"/>
  <c r="N10" i="61"/>
  <c r="E29" i="61"/>
  <c r="N11" i="61"/>
  <c r="X11" i="61"/>
  <c r="AC11" i="61"/>
  <c r="BE11" i="61"/>
  <c r="AL30" i="61"/>
  <c r="AK30" i="61" s="1"/>
  <c r="AK12" i="61"/>
  <c r="AV30" i="61"/>
  <c r="BB12" i="61"/>
  <c r="O31" i="61"/>
  <c r="X31" i="61" s="1"/>
  <c r="X13" i="61"/>
  <c r="AI31" i="61"/>
  <c r="AH31" i="61" s="1"/>
  <c r="BG13" i="61"/>
  <c r="AH13" i="61"/>
  <c r="AO13" i="61"/>
  <c r="AN13" i="61" s="1"/>
  <c r="K5" i="61"/>
  <c r="E8" i="61"/>
  <c r="Q8" i="61"/>
  <c r="D9" i="61"/>
  <c r="G27" i="61"/>
  <c r="L9" i="61"/>
  <c r="S27" i="61"/>
  <c r="X9" i="61"/>
  <c r="AE27" i="61"/>
  <c r="AO27" i="61"/>
  <c r="AZ9" i="61"/>
  <c r="BD9" i="61"/>
  <c r="C28" i="61"/>
  <c r="AA10" i="61"/>
  <c r="G10" i="61"/>
  <c r="J28" i="61"/>
  <c r="X28" i="61"/>
  <c r="T28" i="61"/>
  <c r="S28" i="61" s="1"/>
  <c r="S10" i="61"/>
  <c r="X10" i="61"/>
  <c r="AC10" i="61"/>
  <c r="AH10" i="61"/>
  <c r="AZ10" i="61"/>
  <c r="K29" i="61"/>
  <c r="J29" i="61" s="1"/>
  <c r="J11" i="61"/>
  <c r="AM29" i="61"/>
  <c r="AI29" i="61"/>
  <c r="AH29" i="61" s="1"/>
  <c r="AH11" i="61"/>
  <c r="AM11" i="61"/>
  <c r="AW11" i="61"/>
  <c r="BG11" i="61"/>
  <c r="E79" i="55" s="1"/>
  <c r="E77" i="55" s="1"/>
  <c r="L30" i="61"/>
  <c r="AA30" i="61"/>
  <c r="G12" i="61"/>
  <c r="P12" i="61"/>
  <c r="S30" i="61"/>
  <c r="X12" i="61"/>
  <c r="AD30" i="61"/>
  <c r="AM30" i="61" s="1"/>
  <c r="AP30" i="61" s="1"/>
  <c r="BE12" i="61"/>
  <c r="AH12" i="61"/>
  <c r="AM12" i="61"/>
  <c r="AW30" i="61"/>
  <c r="C31" i="61"/>
  <c r="L13" i="61"/>
  <c r="D27" i="61"/>
  <c r="N27" i="61"/>
  <c r="Q27" i="61"/>
  <c r="AC9" i="61"/>
  <c r="AZ27" i="61"/>
  <c r="BE9" i="61"/>
  <c r="BE27" i="61" s="1"/>
  <c r="L10" i="61"/>
  <c r="AD28" i="61"/>
  <c r="AM28" i="61" s="1"/>
  <c r="AM10" i="61"/>
  <c r="BH29" i="61"/>
  <c r="BE43" i="61" s="1"/>
  <c r="BG43" i="61" s="1"/>
  <c r="L29" i="61"/>
  <c r="AA29" i="61"/>
  <c r="L11" i="61"/>
  <c r="Q29" i="61"/>
  <c r="Z11" i="61"/>
  <c r="AA11" i="61"/>
  <c r="AS29" i="61"/>
  <c r="BB29" i="61" s="1"/>
  <c r="BB11" i="61"/>
  <c r="G30" i="61"/>
  <c r="L12" i="61"/>
  <c r="Y12" i="61"/>
  <c r="BB30" i="61"/>
  <c r="BD12" i="61"/>
  <c r="BC12" i="61" s="1"/>
  <c r="BJ13" i="61"/>
  <c r="AR13" i="61"/>
  <c r="AQ13" i="61" s="1"/>
  <c r="AB13" i="61"/>
  <c r="W31" i="61"/>
  <c r="V31" i="61" s="1"/>
  <c r="Z13" i="61"/>
  <c r="Y13" i="61" s="1"/>
  <c r="V13" i="61"/>
  <c r="AT31" i="61"/>
  <c r="BD31" i="61"/>
  <c r="V28" i="61"/>
  <c r="AH28" i="61"/>
  <c r="AT28" i="61"/>
  <c r="AK29" i="61"/>
  <c r="AW29" i="61"/>
  <c r="D30" i="61"/>
  <c r="AC30" i="61"/>
  <c r="AB30" i="61" s="1"/>
  <c r="P30" i="61"/>
  <c r="AC12" i="61"/>
  <c r="AW12" i="61"/>
  <c r="AZ30" i="61"/>
  <c r="D13" i="61"/>
  <c r="G31" i="61"/>
  <c r="P13" i="61"/>
  <c r="S31" i="61"/>
  <c r="AE31" i="61"/>
  <c r="AO31" i="61"/>
  <c r="AZ13" i="61"/>
  <c r="BD13" i="61"/>
  <c r="BH32" i="61"/>
  <c r="BE46" i="61" s="1"/>
  <c r="BG46" i="61" s="1"/>
  <c r="L32" i="61"/>
  <c r="AA32" i="61"/>
  <c r="G14" i="61"/>
  <c r="J32" i="61"/>
  <c r="X32" i="61"/>
  <c r="S14" i="61"/>
  <c r="V32" i="61"/>
  <c r="AA14" i="61"/>
  <c r="AE14" i="61"/>
  <c r="AH32" i="61"/>
  <c r="AM14" i="61"/>
  <c r="AT32" i="61"/>
  <c r="BD32" i="61"/>
  <c r="BC32" i="61" s="1"/>
  <c r="BG14" i="61"/>
  <c r="E101" i="58" s="1"/>
  <c r="F15" i="61"/>
  <c r="G15" i="61" s="1"/>
  <c r="R15" i="61"/>
  <c r="S15" i="61" s="1"/>
  <c r="AD15" i="61"/>
  <c r="AE15" i="61" s="1"/>
  <c r="AL15" i="61"/>
  <c r="AX15" i="61"/>
  <c r="BJ34" i="61"/>
  <c r="N34" i="61"/>
  <c r="D34" i="61"/>
  <c r="AC34" i="61"/>
  <c r="E33" i="61"/>
  <c r="I33" i="61"/>
  <c r="Z34" i="61"/>
  <c r="P34" i="61"/>
  <c r="Q33" i="61"/>
  <c r="U33" i="61"/>
  <c r="AC16" i="61"/>
  <c r="AG33" i="61"/>
  <c r="AK16" i="61"/>
  <c r="AO16" i="61"/>
  <c r="BB34" i="61"/>
  <c r="BB33" i="61" s="1"/>
  <c r="AS33" i="61"/>
  <c r="AW16" i="61"/>
  <c r="AZ34" i="61"/>
  <c r="BA33" i="61"/>
  <c r="AZ33" i="61" s="1"/>
  <c r="BE16" i="61"/>
  <c r="D17" i="61"/>
  <c r="G35" i="61"/>
  <c r="L17" i="61"/>
  <c r="L15" i="61" s="1"/>
  <c r="P17" i="61"/>
  <c r="S35" i="61"/>
  <c r="X17" i="61"/>
  <c r="X15" i="61" s="1"/>
  <c r="AO35" i="61"/>
  <c r="AE35" i="61"/>
  <c r="AZ17" i="61"/>
  <c r="BD17" i="61"/>
  <c r="C19" i="61"/>
  <c r="Z30" i="61"/>
  <c r="Y30" i="61" s="1"/>
  <c r="E31" i="61"/>
  <c r="P31" i="61"/>
  <c r="AK13" i="61"/>
  <c r="BB31" i="61"/>
  <c r="AW13" i="61"/>
  <c r="AZ31" i="61"/>
  <c r="BE13" i="61"/>
  <c r="BE31" i="61" s="1"/>
  <c r="D14" i="61"/>
  <c r="G32" i="61"/>
  <c r="L14" i="61"/>
  <c r="M14" i="61" s="1"/>
  <c r="P14" i="61"/>
  <c r="S32" i="61"/>
  <c r="X14" i="61"/>
  <c r="Y14" i="61" s="1"/>
  <c r="AE32" i="61"/>
  <c r="AO32" i="61"/>
  <c r="AZ14" i="61"/>
  <c r="BD14" i="61"/>
  <c r="BC14" i="61" s="1"/>
  <c r="J16" i="61"/>
  <c r="N16" i="61"/>
  <c r="V16" i="61"/>
  <c r="Z16" i="61"/>
  <c r="AD33" i="61"/>
  <c r="AM34" i="61"/>
  <c r="AH16" i="61"/>
  <c r="AL33" i="61"/>
  <c r="AK33" i="61" s="1"/>
  <c r="AK34" i="61"/>
  <c r="AT16" i="61"/>
  <c r="AX33" i="61"/>
  <c r="AW33" i="61" s="1"/>
  <c r="AW34" i="61"/>
  <c r="BB16" i="61"/>
  <c r="BC16" i="61" s="1"/>
  <c r="BJ35" i="61"/>
  <c r="N35" i="61"/>
  <c r="AC35" i="61"/>
  <c r="D35" i="61"/>
  <c r="Z35" i="61"/>
  <c r="Y35" i="61" s="1"/>
  <c r="P35" i="61"/>
  <c r="AC17" i="61"/>
  <c r="AK17" i="61"/>
  <c r="AO17" i="61"/>
  <c r="AW17" i="61"/>
  <c r="BE17" i="61"/>
  <c r="AT13" i="61"/>
  <c r="BB13" i="61"/>
  <c r="BJ32" i="61"/>
  <c r="N32" i="61"/>
  <c r="M32" i="61" s="1"/>
  <c r="D32" i="61"/>
  <c r="AC32" i="61"/>
  <c r="AB32" i="61" s="1"/>
  <c r="Z32" i="61"/>
  <c r="Y32" i="61" s="1"/>
  <c r="P32" i="61"/>
  <c r="AC14" i="61"/>
  <c r="AK14" i="61"/>
  <c r="AO14" i="61"/>
  <c r="AN14" i="61" s="1"/>
  <c r="AW14" i="61"/>
  <c r="BE14" i="61"/>
  <c r="BH34" i="61"/>
  <c r="L34" i="61"/>
  <c r="AA34" i="61"/>
  <c r="C33" i="61"/>
  <c r="G16" i="61"/>
  <c r="J34" i="61"/>
  <c r="K33" i="61"/>
  <c r="J33" i="61" s="1"/>
  <c r="X34" i="61"/>
  <c r="X33" i="61" s="1"/>
  <c r="O33" i="61"/>
  <c r="S16" i="61"/>
  <c r="V34" i="61"/>
  <c r="W33" i="61"/>
  <c r="V33" i="61" s="1"/>
  <c r="AA16" i="61"/>
  <c r="AE16" i="61"/>
  <c r="AH34" i="61"/>
  <c r="AI33" i="61"/>
  <c r="AM16" i="61"/>
  <c r="AT34" i="61"/>
  <c r="BD34" i="61"/>
  <c r="AU33" i="61"/>
  <c r="BG16" i="61"/>
  <c r="J17" i="61"/>
  <c r="N17" i="61"/>
  <c r="M17" i="61" s="1"/>
  <c r="BB17" i="61"/>
  <c r="BD28" i="61"/>
  <c r="BC28" i="61" s="1"/>
  <c r="N30" i="61"/>
  <c r="M30" i="61" s="1"/>
  <c r="BJ30" i="61"/>
  <c r="AP32" i="61"/>
  <c r="H33" i="61"/>
  <c r="G33" i="61" s="1"/>
  <c r="G34" i="61"/>
  <c r="T33" i="61"/>
  <c r="S33" i="61" s="1"/>
  <c r="S34" i="61"/>
  <c r="AF33" i="61"/>
  <c r="AE33" i="61" s="1"/>
  <c r="AE34" i="61"/>
  <c r="AO34" i="61"/>
  <c r="BH35" i="61"/>
  <c r="BE48" i="61" s="1"/>
  <c r="BG48" i="61" s="1"/>
  <c r="L35" i="61"/>
  <c r="AA35" i="61"/>
  <c r="AP35" i="61" s="1"/>
  <c r="S17" i="61"/>
  <c r="AA17" i="61"/>
  <c r="AM17" i="61"/>
  <c r="AT35" i="61"/>
  <c r="BD35" i="61"/>
  <c r="BC35" i="61" s="1"/>
  <c r="BG17" i="61"/>
  <c r="E56" i="57" s="1"/>
  <c r="E54" i="57" s="1"/>
  <c r="E40" i="43"/>
  <c r="E32" i="43"/>
  <c r="D22" i="58"/>
  <c r="BE32" i="61" l="1"/>
  <c r="E100" i="58"/>
  <c r="E103" i="58" s="1"/>
  <c r="E99" i="58"/>
  <c r="E98" i="58"/>
  <c r="BE30" i="61"/>
  <c r="E82" i="56"/>
  <c r="M27" i="61"/>
  <c r="BE29" i="61"/>
  <c r="E80" i="55"/>
  <c r="BE35" i="61"/>
  <c r="E57" i="57"/>
  <c r="AT33" i="61"/>
  <c r="AH33" i="61"/>
  <c r="BC10" i="61"/>
  <c r="Y11" i="61"/>
  <c r="Z31" i="61"/>
  <c r="Y31" i="61" s="1"/>
  <c r="BC9" i="61"/>
  <c r="BC27" i="61"/>
  <c r="BE28" i="61"/>
  <c r="E68" i="43"/>
  <c r="L33" i="61"/>
  <c r="BK46" i="61"/>
  <c r="BL46" i="61" s="1"/>
  <c r="BI32" i="61"/>
  <c r="BJ17" i="61"/>
  <c r="AR17" i="61"/>
  <c r="AB17" i="61"/>
  <c r="AB35" i="61"/>
  <c r="Y16" i="61"/>
  <c r="Z15" i="61"/>
  <c r="BC17" i="61"/>
  <c r="BD15" i="61"/>
  <c r="AN16" i="61"/>
  <c r="AO15" i="61"/>
  <c r="N33" i="61"/>
  <c r="M34" i="61"/>
  <c r="AN31" i="61"/>
  <c r="BJ12" i="61"/>
  <c r="AR12" i="61"/>
  <c r="AB12" i="61"/>
  <c r="BC31" i="61"/>
  <c r="AR9" i="61"/>
  <c r="AB9" i="61"/>
  <c r="BJ9" i="61"/>
  <c r="AP29" i="61"/>
  <c r="AP10" i="61"/>
  <c r="BH10" i="61"/>
  <c r="BH19" i="61" s="1"/>
  <c r="AN27" i="61"/>
  <c r="T26" i="61"/>
  <c r="T37" i="61" s="1"/>
  <c r="H26" i="61"/>
  <c r="H37" i="61" s="1"/>
  <c r="E5" i="61"/>
  <c r="M10" i="61"/>
  <c r="BH9" i="61"/>
  <c r="AP9" i="61"/>
  <c r="O41" i="61"/>
  <c r="BH27" i="61"/>
  <c r="BE41" i="61" s="1"/>
  <c r="BG41" i="61" s="1"/>
  <c r="BD30" i="61"/>
  <c r="BC30" i="61" s="1"/>
  <c r="AT30" i="61"/>
  <c r="M12" i="61"/>
  <c r="AN11" i="61"/>
  <c r="AE28" i="61"/>
  <c r="AO28" i="61"/>
  <c r="Z28" i="61"/>
  <c r="Y28" i="61" s="1"/>
  <c r="BJ28" i="61"/>
  <c r="BG35" i="61"/>
  <c r="BF35" i="61" s="1"/>
  <c r="BF17" i="61"/>
  <c r="AP17" i="61"/>
  <c r="BH17" i="61"/>
  <c r="BG34" i="61"/>
  <c r="BF16" i="61"/>
  <c r="BG15" i="61"/>
  <c r="AM15" i="61"/>
  <c r="BH16" i="61"/>
  <c r="AP16" i="61"/>
  <c r="AA15" i="61"/>
  <c r="BE47" i="61"/>
  <c r="BG47" i="61" s="1"/>
  <c r="BH33" i="61"/>
  <c r="M35" i="61"/>
  <c r="BJ31" i="61"/>
  <c r="N31" i="61"/>
  <c r="AC31" i="61"/>
  <c r="D31" i="61"/>
  <c r="P33" i="61"/>
  <c r="D33" i="61"/>
  <c r="AC33" i="61"/>
  <c r="BJ33" i="61"/>
  <c r="BK47" i="61"/>
  <c r="BL47" i="61" s="1"/>
  <c r="BI34" i="61"/>
  <c r="AP14" i="61"/>
  <c r="BH14" i="61"/>
  <c r="Z29" i="61"/>
  <c r="Y29" i="61" s="1"/>
  <c r="P29" i="61"/>
  <c r="P27" i="61"/>
  <c r="P41" i="61" s="1"/>
  <c r="Z27" i="61"/>
  <c r="Y27" i="61" s="1"/>
  <c r="Q26" i="61"/>
  <c r="Q37" i="61" s="1"/>
  <c r="AC27" i="61"/>
  <c r="AR27" i="61" s="1"/>
  <c r="BJ10" i="61"/>
  <c r="AR10" i="61"/>
  <c r="AQ10" i="61" s="1"/>
  <c r="AB10" i="61"/>
  <c r="AA28" i="61"/>
  <c r="BH28" i="61"/>
  <c r="BE42" i="61" s="1"/>
  <c r="BG42" i="61" s="1"/>
  <c r="L28" i="61"/>
  <c r="M28" i="61" s="1"/>
  <c r="AF26" i="61"/>
  <c r="AF37" i="61" s="1"/>
  <c r="M11" i="61"/>
  <c r="BG27" i="61"/>
  <c r="BF9" i="61"/>
  <c r="AA27" i="61"/>
  <c r="AP27" i="61" s="1"/>
  <c r="BG30" i="61"/>
  <c r="BF30" i="61" s="1"/>
  <c r="BF12" i="61"/>
  <c r="AN12" i="61"/>
  <c r="BC11" i="61"/>
  <c r="AN10" i="61"/>
  <c r="Y10" i="61"/>
  <c r="D28" i="61"/>
  <c r="AL26" i="61"/>
  <c r="Y9" i="61"/>
  <c r="AR34" i="61"/>
  <c r="AN34" i="61"/>
  <c r="AO33" i="61"/>
  <c r="BK44" i="61"/>
  <c r="BL44" i="61" s="1"/>
  <c r="BJ14" i="61"/>
  <c r="AR14" i="61"/>
  <c r="AQ14" i="61" s="1"/>
  <c r="AB14" i="61"/>
  <c r="AN17" i="61"/>
  <c r="BK48" i="61"/>
  <c r="BL48" i="61" s="1"/>
  <c r="BI35" i="61"/>
  <c r="AP34" i="61"/>
  <c r="AP33" i="61" s="1"/>
  <c r="AM33" i="61"/>
  <c r="M16" i="61"/>
  <c r="N15" i="61"/>
  <c r="AR32" i="61"/>
  <c r="AQ32" i="61" s="1"/>
  <c r="AN32" i="61"/>
  <c r="BE34" i="61"/>
  <c r="BE33" i="61" s="1"/>
  <c r="BE15" i="61"/>
  <c r="AB34" i="61"/>
  <c r="AW15" i="61"/>
  <c r="AX8" i="61"/>
  <c r="BC13" i="61"/>
  <c r="BA26" i="61"/>
  <c r="BA37" i="61" s="1"/>
  <c r="Q41" i="61"/>
  <c r="BJ27" i="61"/>
  <c r="BH31" i="61"/>
  <c r="BE45" i="61" s="1"/>
  <c r="BG45" i="61" s="1"/>
  <c r="AA31" i="61"/>
  <c r="AP31" i="61" s="1"/>
  <c r="L31" i="61"/>
  <c r="BH30" i="61"/>
  <c r="BE44" i="61" s="1"/>
  <c r="BG44" i="61" s="1"/>
  <c r="BG31" i="61"/>
  <c r="BF31" i="61" s="1"/>
  <c r="BF13" i="61"/>
  <c r="AC29" i="61"/>
  <c r="AB29" i="61" s="1"/>
  <c r="BJ29" i="61"/>
  <c r="N29" i="61"/>
  <c r="M29" i="61" s="1"/>
  <c r="D29" i="61"/>
  <c r="W26" i="61"/>
  <c r="K26" i="61"/>
  <c r="K37" i="61" s="1"/>
  <c r="AO30" i="61"/>
  <c r="AE30" i="61"/>
  <c r="AC28" i="61"/>
  <c r="AB28" i="61" s="1"/>
  <c r="BD33" i="61"/>
  <c r="BC34" i="61"/>
  <c r="AA33" i="61"/>
  <c r="BB15" i="61"/>
  <c r="AR35" i="61"/>
  <c r="AQ35" i="61" s="1"/>
  <c r="AN35" i="61"/>
  <c r="AR16" i="61"/>
  <c r="AB16" i="61"/>
  <c r="AC15" i="61"/>
  <c r="BJ16" i="61"/>
  <c r="Z33" i="61"/>
  <c r="Y34" i="61"/>
  <c r="AK15" i="61"/>
  <c r="AL8" i="61"/>
  <c r="BG32" i="61"/>
  <c r="BF32" i="61" s="1"/>
  <c r="BF14" i="61"/>
  <c r="BK13" i="61"/>
  <c r="BI13" i="61"/>
  <c r="AP11" i="61"/>
  <c r="BH11" i="61"/>
  <c r="AP28" i="61"/>
  <c r="E26" i="61"/>
  <c r="E37" i="61" s="1"/>
  <c r="Y17" i="61"/>
  <c r="BG29" i="61"/>
  <c r="BF29" i="61" s="1"/>
  <c r="BF11" i="61"/>
  <c r="Q5" i="61"/>
  <c r="BJ11" i="61"/>
  <c r="AR11" i="61"/>
  <c r="AB11" i="61"/>
  <c r="AU26" i="61"/>
  <c r="AU37" i="61" s="1"/>
  <c r="AI26" i="61"/>
  <c r="AI37" i="61" s="1"/>
  <c r="M13" i="61"/>
  <c r="BH12" i="61"/>
  <c r="AP12" i="61"/>
  <c r="AT29" i="61"/>
  <c r="BD29" i="61"/>
  <c r="BC29" i="61" s="1"/>
  <c r="AO29" i="61"/>
  <c r="BG28" i="61"/>
  <c r="BF28" i="61" s="1"/>
  <c r="BF10" i="61"/>
  <c r="AX26" i="61"/>
  <c r="M9" i="61"/>
  <c r="E38" i="43"/>
  <c r="E37" i="43" s="1"/>
  <c r="F25" i="58"/>
  <c r="F69" i="55"/>
  <c r="E85" i="56"/>
  <c r="E64" i="43" l="1"/>
  <c r="E65" i="43"/>
  <c r="BI33" i="61"/>
  <c r="AL37" i="61"/>
  <c r="AP15" i="61"/>
  <c r="AQ17" i="61"/>
  <c r="AQ27" i="61"/>
  <c r="Y33" i="61"/>
  <c r="Z26" i="61"/>
  <c r="AR29" i="61"/>
  <c r="AQ29" i="61" s="1"/>
  <c r="AN29" i="61"/>
  <c r="BK16" i="61"/>
  <c r="BI16" i="61"/>
  <c r="BJ15" i="61"/>
  <c r="AR30" i="61"/>
  <c r="AQ30" i="61" s="1"/>
  <c r="AN30" i="61"/>
  <c r="M15" i="61"/>
  <c r="N8" i="61"/>
  <c r="BI30" i="61"/>
  <c r="AR33" i="61"/>
  <c r="AQ33" i="61" s="1"/>
  <c r="AQ34" i="61"/>
  <c r="BF27" i="61"/>
  <c r="BJ19" i="61"/>
  <c r="BK10" i="61"/>
  <c r="BI10" i="61"/>
  <c r="AB33" i="61"/>
  <c r="AB31" i="61"/>
  <c r="BH15" i="61"/>
  <c r="BF34" i="61"/>
  <c r="BG33" i="61"/>
  <c r="BF33" i="61" s="1"/>
  <c r="AN28" i="61"/>
  <c r="AR28" i="61"/>
  <c r="AQ28" i="61" s="1"/>
  <c r="BI9" i="61"/>
  <c r="BK9" i="61"/>
  <c r="AR31" i="61"/>
  <c r="AQ31" i="61" s="1"/>
  <c r="BK17" i="61"/>
  <c r="BI17" i="61"/>
  <c r="AQ16" i="61"/>
  <c r="AR15" i="61"/>
  <c r="AR8" i="61" s="1"/>
  <c r="BC33" i="61"/>
  <c r="BD26" i="61"/>
  <c r="BK43" i="61"/>
  <c r="BL43" i="61" s="1"/>
  <c r="BI29" i="61"/>
  <c r="BK41" i="61"/>
  <c r="BL41" i="61" s="1"/>
  <c r="BI27" i="61"/>
  <c r="BL26" i="61"/>
  <c r="BL27" i="61" s="1"/>
  <c r="BJ26" i="61"/>
  <c r="AX37" i="61"/>
  <c r="AB27" i="61"/>
  <c r="AC26" i="61"/>
  <c r="M31" i="61"/>
  <c r="AQ12" i="61"/>
  <c r="BC15" i="61"/>
  <c r="BD8" i="61"/>
  <c r="AQ11" i="61"/>
  <c r="AB15" i="61"/>
  <c r="AC8" i="61"/>
  <c r="BK11" i="61"/>
  <c r="BI11" i="61"/>
  <c r="BI14" i="61"/>
  <c r="BK14" i="61"/>
  <c r="AN33" i="61"/>
  <c r="AO26" i="61"/>
  <c r="BK45" i="61"/>
  <c r="BL45" i="61" s="1"/>
  <c r="BI31" i="61"/>
  <c r="BF15" i="61"/>
  <c r="BK42" i="61"/>
  <c r="BL42" i="61" s="1"/>
  <c r="BI28" i="61"/>
  <c r="AQ9" i="61"/>
  <c r="BK12" i="61"/>
  <c r="BI12" i="61"/>
  <c r="M33" i="61"/>
  <c r="N26" i="61"/>
  <c r="AN15" i="61"/>
  <c r="AO8" i="61"/>
  <c r="Y15" i="61"/>
  <c r="Z8" i="61"/>
  <c r="Z37" i="61" s="1"/>
  <c r="F71" i="55"/>
  <c r="F70" i="55"/>
  <c r="D50" i="56"/>
  <c r="D43" i="56" s="1"/>
  <c r="F18" i="55"/>
  <c r="D66" i="55"/>
  <c r="BL28" i="61" l="1"/>
  <c r="AC37" i="61"/>
  <c r="AQ15" i="61"/>
  <c r="BL30" i="61"/>
  <c r="BL35" i="61"/>
  <c r="BL29" i="61"/>
  <c r="AR26" i="61"/>
  <c r="BG26" i="61"/>
  <c r="N37" i="61"/>
  <c r="BI15" i="61"/>
  <c r="BK15" i="61"/>
  <c r="BJ8" i="61"/>
  <c r="F100" i="58"/>
  <c r="D87" i="58"/>
  <c r="D79" i="58"/>
  <c r="D64" i="58" s="1"/>
  <c r="D58" i="58"/>
  <c r="D30" i="58"/>
  <c r="F29" i="58"/>
  <c r="F24" i="58"/>
  <c r="F16" i="58"/>
  <c r="D13" i="58"/>
  <c r="F13" i="58" l="1"/>
  <c r="F22" i="58"/>
  <c r="D33" i="58"/>
  <c r="D12" i="58" s="1"/>
  <c r="D63" i="58"/>
  <c r="F12" i="58" l="1"/>
  <c r="D97" i="58"/>
  <c r="D99" i="58" s="1"/>
  <c r="D98" i="58" l="1"/>
  <c r="D101" i="58"/>
  <c r="F99" i="58"/>
  <c r="F97" i="58" l="1"/>
  <c r="E105" i="58"/>
  <c r="D103" i="58"/>
  <c r="F103" i="58" s="1"/>
  <c r="F101" i="58"/>
  <c r="E60" i="57" l="1"/>
  <c r="F57" i="57"/>
  <c r="F51" i="57"/>
  <c r="F50" i="57"/>
  <c r="F49" i="57"/>
  <c r="F48" i="57"/>
  <c r="F46" i="57"/>
  <c r="F44" i="57"/>
  <c r="F43" i="57"/>
  <c r="F41" i="57"/>
  <c r="F40" i="57"/>
  <c r="F35" i="57"/>
  <c r="D34" i="57"/>
  <c r="F25" i="57"/>
  <c r="D24" i="57"/>
  <c r="D18" i="57"/>
  <c r="F17" i="57"/>
  <c r="D15" i="57"/>
  <c r="F31" i="57" l="1"/>
  <c r="F32" i="57"/>
  <c r="F30" i="57"/>
  <c r="F34" i="57"/>
  <c r="D27" i="57"/>
  <c r="D26" i="57" s="1"/>
  <c r="D10" i="57"/>
  <c r="D9" i="57" s="1"/>
  <c r="F15" i="57"/>
  <c r="F24" i="57"/>
  <c r="F29" i="57"/>
  <c r="F37" i="57"/>
  <c r="F28" i="57"/>
  <c r="F33" i="57"/>
  <c r="F45" i="57"/>
  <c r="F9" i="57" l="1"/>
  <c r="F10" i="57"/>
  <c r="D53" i="57"/>
  <c r="F27" i="57"/>
  <c r="D56" i="57" l="1"/>
  <c r="F26" i="57"/>
  <c r="D60" i="57" l="1"/>
  <c r="F56" i="57"/>
  <c r="F53" i="57"/>
  <c r="F60" i="57" l="1"/>
  <c r="F82" i="56"/>
  <c r="F76" i="56"/>
  <c r="F75" i="56"/>
  <c r="F74" i="56"/>
  <c r="D70" i="56"/>
  <c r="D68" i="56" s="1"/>
  <c r="F67" i="56"/>
  <c r="F66" i="56"/>
  <c r="F65" i="56"/>
  <c r="F64" i="56"/>
  <c r="F61" i="56"/>
  <c r="F60" i="56"/>
  <c r="F59" i="56"/>
  <c r="F57" i="56"/>
  <c r="F56" i="56"/>
  <c r="F53" i="56"/>
  <c r="F41" i="56"/>
  <c r="F40" i="56"/>
  <c r="F39" i="56"/>
  <c r="F38" i="56"/>
  <c r="F37" i="56"/>
  <c r="F36" i="56"/>
  <c r="F34" i="56"/>
  <c r="D32" i="56"/>
  <c r="F29" i="56"/>
  <c r="D22" i="56"/>
  <c r="F23" i="56"/>
  <c r="F21" i="56"/>
  <c r="D19" i="56"/>
  <c r="D14" i="56" s="1"/>
  <c r="F17" i="56"/>
  <c r="F15" i="56"/>
  <c r="F19" i="56" l="1"/>
  <c r="F32" i="56"/>
  <c r="D13" i="56"/>
  <c r="F49" i="56"/>
  <c r="F51" i="56"/>
  <c r="F62" i="56"/>
  <c r="F68" i="56"/>
  <c r="F20" i="56"/>
  <c r="F44" i="56"/>
  <c r="F27" i="56" l="1"/>
  <c r="F28" i="56"/>
  <c r="F26" i="56"/>
  <c r="F25" i="56"/>
  <c r="F50" i="56"/>
  <c r="F22" i="56"/>
  <c r="F24" i="56"/>
  <c r="F14" i="56"/>
  <c r="F13" i="56" l="1"/>
  <c r="F79" i="56" l="1"/>
  <c r="E82" i="55"/>
  <c r="F80" i="55"/>
  <c r="F74" i="55"/>
  <c r="F72" i="55"/>
  <c r="F68" i="55"/>
  <c r="F67" i="55"/>
  <c r="F64" i="55"/>
  <c r="F63" i="55"/>
  <c r="F62" i="55"/>
  <c r="F60" i="55"/>
  <c r="F59" i="55"/>
  <c r="F58" i="55"/>
  <c r="F57" i="55"/>
  <c r="F55" i="55"/>
  <c r="F54" i="55"/>
  <c r="F51" i="55"/>
  <c r="F49" i="55"/>
  <c r="F48" i="55"/>
  <c r="F47" i="55"/>
  <c r="F39" i="55"/>
  <c r="F38" i="55"/>
  <c r="F37" i="55"/>
  <c r="F36" i="55"/>
  <c r="F35" i="55"/>
  <c r="F34" i="55"/>
  <c r="F32" i="55"/>
  <c r="D30" i="55"/>
  <c r="F27" i="55"/>
  <c r="D20" i="55"/>
  <c r="F21" i="55"/>
  <c r="F19" i="55"/>
  <c r="F17" i="55"/>
  <c r="D16" i="55"/>
  <c r="D11" i="55" s="1"/>
  <c r="F14" i="55"/>
  <c r="F12" i="55"/>
  <c r="F46" i="55" l="1"/>
  <c r="F45" i="55"/>
  <c r="D41" i="55"/>
  <c r="D40" i="55" s="1"/>
  <c r="F43" i="55"/>
  <c r="F66" i="55"/>
  <c r="D10" i="55"/>
  <c r="F30" i="55"/>
  <c r="F42" i="55"/>
  <c r="F65" i="55"/>
  <c r="F73" i="55"/>
  <c r="F44" i="55" l="1"/>
  <c r="F26" i="55"/>
  <c r="F23" i="55"/>
  <c r="F24" i="55"/>
  <c r="F25" i="55"/>
  <c r="D76" i="55"/>
  <c r="F20" i="55"/>
  <c r="F22" i="55"/>
  <c r="F16" i="55"/>
  <c r="F41" i="55"/>
  <c r="D79" i="55" l="1"/>
  <c r="F79" i="55"/>
  <c r="F10" i="55"/>
  <c r="F11" i="55"/>
  <c r="F40" i="55"/>
  <c r="D82" i="55" l="1"/>
  <c r="F82" i="55" s="1"/>
  <c r="F77" i="55" l="1"/>
  <c r="F76" i="55"/>
  <c r="F17" i="43"/>
  <c r="F14" i="43"/>
  <c r="F42" i="43" l="1"/>
  <c r="F43" i="43"/>
  <c r="F41" i="43"/>
  <c r="D45" i="43"/>
  <c r="D38" i="43" l="1"/>
  <c r="D37" i="43" s="1"/>
  <c r="D22" i="43"/>
  <c r="F26" i="43" l="1"/>
  <c r="F28" i="43"/>
  <c r="F27" i="43"/>
  <c r="F25" i="43"/>
  <c r="F18" i="43"/>
  <c r="F52" i="43" l="1"/>
  <c r="F61" i="43"/>
  <c r="F48" i="43"/>
  <c r="F22" i="43"/>
  <c r="F23" i="43"/>
  <c r="F24" i="43"/>
  <c r="F29" i="43"/>
  <c r="F35" i="43"/>
  <c r="F39" i="43"/>
  <c r="F40" i="43"/>
  <c r="F44" i="43"/>
  <c r="F46" i="43"/>
  <c r="F51" i="43"/>
  <c r="F54" i="43"/>
  <c r="F55" i="43"/>
  <c r="F56" i="43"/>
  <c r="F57" i="43"/>
  <c r="F59" i="43"/>
  <c r="F60" i="43"/>
  <c r="F62" i="43"/>
  <c r="F16" i="43" l="1"/>
  <c r="D32" i="43"/>
  <c r="F32" i="43" s="1"/>
  <c r="D13" i="43"/>
  <c r="F33" i="43"/>
  <c r="F34" i="43"/>
  <c r="F13" i="43" l="1"/>
  <c r="F45" i="43"/>
  <c r="D12" i="43"/>
  <c r="F12" i="43" l="1"/>
  <c r="F38" i="43"/>
  <c r="D64" i="43"/>
  <c r="F37" i="43" l="1"/>
  <c r="D67" i="43"/>
  <c r="F68" i="43"/>
  <c r="D71" i="43" l="1"/>
  <c r="F67" i="43"/>
  <c r="E71" i="43"/>
  <c r="F71" i="43" l="1"/>
  <c r="F65" i="43" l="1"/>
  <c r="F64" i="43"/>
  <c r="F43" i="56"/>
  <c r="F45" i="56"/>
  <c r="F46" i="56"/>
  <c r="F47" i="56"/>
  <c r="F48" i="56"/>
  <c r="D42" i="56" l="1"/>
  <c r="D78" i="56" l="1"/>
  <c r="F42" i="56"/>
  <c r="D81" i="56" l="1"/>
  <c r="F78" i="56"/>
  <c r="F81" i="56" l="1"/>
  <c r="D85" i="56"/>
  <c r="F85" i="56" s="1"/>
</calcChain>
</file>

<file path=xl/sharedStrings.xml><?xml version="1.0" encoding="utf-8"?>
<sst xmlns="http://schemas.openxmlformats.org/spreadsheetml/2006/main" count="4273" uniqueCount="946">
  <si>
    <t>1.</t>
  </si>
  <si>
    <t>2.</t>
  </si>
  <si>
    <t>№ п/п</t>
  </si>
  <si>
    <t xml:space="preserve">№ п/п </t>
  </si>
  <si>
    <t>Наименование показателей</t>
  </si>
  <si>
    <t>Единица измерения</t>
  </si>
  <si>
    <t>I</t>
  </si>
  <si>
    <t>Затраты на производство товаров и предоставление услуг, всего</t>
  </si>
  <si>
    <t>тыс. тенге</t>
  </si>
  <si>
    <t>Материальные затраты, всего</t>
  </si>
  <si>
    <t xml:space="preserve"> -"-</t>
  </si>
  <si>
    <t>в том числе:</t>
  </si>
  <si>
    <t xml:space="preserve"> 1.1</t>
  </si>
  <si>
    <t>сырьё и материалы</t>
  </si>
  <si>
    <t>топливо (газ)</t>
  </si>
  <si>
    <t xml:space="preserve"> 1.3</t>
  </si>
  <si>
    <t>ГСМ</t>
  </si>
  <si>
    <t>Затраты на оплату труда, всего</t>
  </si>
  <si>
    <t>Амортизация</t>
  </si>
  <si>
    <t>Ремонт, всего</t>
  </si>
  <si>
    <t>капитальный ремонт, не приводящий к росту стоимости основных фондов</t>
  </si>
  <si>
    <t>Услуги сторонних организаций производственного характера</t>
  </si>
  <si>
    <t>Налоги</t>
  </si>
  <si>
    <t>II</t>
  </si>
  <si>
    <t>Расходы периода, всего</t>
  </si>
  <si>
    <t>амортизация</t>
  </si>
  <si>
    <t>командировочные расходы</t>
  </si>
  <si>
    <t>коммунальные услуги</t>
  </si>
  <si>
    <t>услуги связи</t>
  </si>
  <si>
    <t>услуги банка</t>
  </si>
  <si>
    <t>услуги охраны</t>
  </si>
  <si>
    <t>охрана труда и техника безопасности</t>
  </si>
  <si>
    <t>плата за пользование водными ресурсами</t>
  </si>
  <si>
    <t>страхование</t>
  </si>
  <si>
    <t>приобретение лицензий</t>
  </si>
  <si>
    <t>услуги сторонних организаций</t>
  </si>
  <si>
    <t>вспомогательные материалы</t>
  </si>
  <si>
    <t xml:space="preserve">прочие затраты </t>
  </si>
  <si>
    <t>Расходы на выплату вознаграждений</t>
  </si>
  <si>
    <t>III</t>
  </si>
  <si>
    <t>Всего затрат</t>
  </si>
  <si>
    <t>IV</t>
  </si>
  <si>
    <t>V</t>
  </si>
  <si>
    <t>Всего доходов</t>
  </si>
  <si>
    <t>VI</t>
  </si>
  <si>
    <t>тыс.м3</t>
  </si>
  <si>
    <t>1.1.</t>
  </si>
  <si>
    <t>2.2.</t>
  </si>
  <si>
    <t>представительские расходы</t>
  </si>
  <si>
    <t>тыс.Гкал</t>
  </si>
  <si>
    <t>VII</t>
  </si>
  <si>
    <t>%</t>
  </si>
  <si>
    <t>Топливо (газ)</t>
  </si>
  <si>
    <t>4.</t>
  </si>
  <si>
    <t>3.</t>
  </si>
  <si>
    <t>Материальные затраты всего, в т.ч.</t>
  </si>
  <si>
    <t>1.2.</t>
  </si>
  <si>
    <t>покупные изделия</t>
  </si>
  <si>
    <t>1.4.</t>
  </si>
  <si>
    <t>1.5.</t>
  </si>
  <si>
    <t>Энергия (энергоресурсы на технологические цели)</t>
  </si>
  <si>
    <t>заработная плата производственного персонала</t>
  </si>
  <si>
    <t>Социальный налог и соцотчисления</t>
  </si>
  <si>
    <t>5.</t>
  </si>
  <si>
    <t>5.1.</t>
  </si>
  <si>
    <t>5.2.</t>
  </si>
  <si>
    <t>5.3.</t>
  </si>
  <si>
    <t>5.4.</t>
  </si>
  <si>
    <t>6.</t>
  </si>
  <si>
    <t>6.1.</t>
  </si>
  <si>
    <t>Заработная плата административного персонала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</si>
  <si>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</si>
  <si>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</si>
  <si>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</si>
  <si>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</si>
  <si>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</si>
  <si>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</si>
  <si>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</si>
  <si>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</si>
  <si>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</si>
  <si>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</si>
  <si>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</si>
  <si>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</si>
  <si>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подготовка кадров и повышение квалификации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</si>
  <si>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</si>
  <si>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</si>
  <si>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</si>
  <si>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</si>
  <si>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</si>
  <si>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</si>
  <si>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</si>
  <si>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</si>
  <si>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VIII</t>
  </si>
  <si>
    <t>-"-</t>
  </si>
  <si>
    <t>Сырье и материалы</t>
  </si>
  <si>
    <t>Расходы на оплату труда всего, в т.ч.</t>
  </si>
  <si>
    <t xml:space="preserve"> 1.2</t>
  </si>
  <si>
    <t>Прочие затраты всего, в т.ч.</t>
  </si>
  <si>
    <t>1.3.</t>
  </si>
  <si>
    <t>тыс.тенге</t>
  </si>
  <si>
    <t>-</t>
  </si>
  <si>
    <t>Затраты на производство товаров и предоставление услуг всего, в т.ч.</t>
  </si>
  <si>
    <t xml:space="preserve">  --"--</t>
  </si>
  <si>
    <t xml:space="preserve">  - дистиллят глубокой очистки </t>
  </si>
  <si>
    <t xml:space="preserve">  - дистиллят общего потока</t>
  </si>
  <si>
    <t xml:space="preserve">  - электроэнергия</t>
  </si>
  <si>
    <t>2.1.</t>
  </si>
  <si>
    <t>Заработная плата производственного персонала</t>
  </si>
  <si>
    <t>Ремонт всего, в т.ч.</t>
  </si>
  <si>
    <t>4.1.</t>
  </si>
  <si>
    <t>Капитальный ремонт, не приводящий к увеличению стоимости основных фондов</t>
  </si>
  <si>
    <t>Энергоресурсы на хозбытовые нужды</t>
  </si>
  <si>
    <t>Услуги вспомогательных цехов</t>
  </si>
  <si>
    <t>Командировочные услуги</t>
  </si>
  <si>
    <t>Расходы периода всего, в т.ч.</t>
  </si>
  <si>
    <t>Общие и административные расходы всего, в т.ч.</t>
  </si>
  <si>
    <t>Заработная плата администативного персонала</t>
  </si>
  <si>
    <t xml:space="preserve">Прочие расходы </t>
  </si>
  <si>
    <t>коммунальные расходы</t>
  </si>
  <si>
    <t>оплата консультационных, аудиторских и маркетинговых  услуг</t>
  </si>
  <si>
    <t>платежи за пользование водными ресурсами</t>
  </si>
  <si>
    <t>платежи за эмисии в окружающую среду</t>
  </si>
  <si>
    <t>услуги сторонних организации</t>
  </si>
  <si>
    <t>прочие затраты</t>
  </si>
  <si>
    <t>Всего затрат на предоставление услуг</t>
  </si>
  <si>
    <t>Доход (РБА*СП)</t>
  </si>
  <si>
    <t xml:space="preserve">Регулируемая база задействованных активов (РБА). </t>
  </si>
  <si>
    <t>Объем оказываемых услуг</t>
  </si>
  <si>
    <t>Нормативные технические потери</t>
  </si>
  <si>
    <t>в натурал. показат.</t>
  </si>
  <si>
    <t>8.1.</t>
  </si>
  <si>
    <t>8.2.</t>
  </si>
  <si>
    <t>заработная плата</t>
  </si>
  <si>
    <t>Наименование показателей*</t>
  </si>
  <si>
    <t>заработная плата административного персонала</t>
  </si>
  <si>
    <t>командировочные</t>
  </si>
  <si>
    <t>подготовка кадров</t>
  </si>
  <si>
    <t>расходы на оформление квитанций</t>
  </si>
  <si>
    <t>маркетинговые услуги</t>
  </si>
  <si>
    <t>3.1.</t>
  </si>
  <si>
    <t>3.2.</t>
  </si>
  <si>
    <t>социальный налог и соцотчисления</t>
  </si>
  <si>
    <t>5.5.</t>
  </si>
  <si>
    <t>5.6.</t>
  </si>
  <si>
    <t>дезинфекция,дератизация произпомещений и коммунальные услуги</t>
  </si>
  <si>
    <t>5.7.</t>
  </si>
  <si>
    <t>обязательные виды страхования</t>
  </si>
  <si>
    <t>5.8.</t>
  </si>
  <si>
    <t>5.9.</t>
  </si>
  <si>
    <t>консультационные, аудиторские и маркетинговые  услуги</t>
  </si>
  <si>
    <t>банковские услуги</t>
  </si>
  <si>
    <t>услуги страхования</t>
  </si>
  <si>
    <t>7.1.</t>
  </si>
  <si>
    <t>7.2.</t>
  </si>
  <si>
    <t>7.3.</t>
  </si>
  <si>
    <t>расходы на оформление квитанции</t>
  </si>
  <si>
    <t>7.4.</t>
  </si>
  <si>
    <t>7.5.</t>
  </si>
  <si>
    <t>другие расходы</t>
  </si>
  <si>
    <t>7.7.</t>
  </si>
  <si>
    <t>энергия (энергоресурсы на технологические цели)</t>
  </si>
  <si>
    <t xml:space="preserve"> 1.4</t>
  </si>
  <si>
    <t xml:space="preserve"> 1.5</t>
  </si>
  <si>
    <t>энергия покупная</t>
  </si>
  <si>
    <t xml:space="preserve"> 1.6</t>
  </si>
  <si>
    <t>вода покупная</t>
  </si>
  <si>
    <t>Технологический расход электрической энергии водохозяйственной и канализационной систем (нормативные потери)</t>
  </si>
  <si>
    <t>транспортировка грузов сторонними организациями</t>
  </si>
  <si>
    <t>6.5.</t>
  </si>
  <si>
    <t>6.6.</t>
  </si>
  <si>
    <t>6.7.</t>
  </si>
  <si>
    <t>6.8.</t>
  </si>
  <si>
    <t>пусконаладочные работы</t>
  </si>
  <si>
    <t>6.9.</t>
  </si>
  <si>
    <t>6.10.</t>
  </si>
  <si>
    <t>6.11.</t>
  </si>
  <si>
    <t>охрана окружающей среды</t>
  </si>
  <si>
    <t>6.13.</t>
  </si>
  <si>
    <t>другие затраты всего, в т.ч.:</t>
  </si>
  <si>
    <t xml:space="preserve">  - услуги сторонних организаций</t>
  </si>
  <si>
    <t>расходы на содержание и обслуживание технических средств управления, вычислительной техники и т.д.</t>
  </si>
  <si>
    <t>7.6.</t>
  </si>
  <si>
    <t>7.8.</t>
  </si>
  <si>
    <t>представительские расходы, расходы на периодическую печать, связь</t>
  </si>
  <si>
    <t>7.9.</t>
  </si>
  <si>
    <t>7.10.</t>
  </si>
  <si>
    <t>аренда основных средств общехозяйственного назначения</t>
  </si>
  <si>
    <t>7.11.</t>
  </si>
  <si>
    <t>налоги</t>
  </si>
  <si>
    <t>7.12.</t>
  </si>
  <si>
    <t xml:space="preserve">  - оплата консалт., аудиторск., маркет.услуг</t>
  </si>
  <si>
    <t xml:space="preserve">  - услуги охраны</t>
  </si>
  <si>
    <t xml:space="preserve">  - подготовка кадров</t>
  </si>
  <si>
    <t xml:space="preserve">  - страхование</t>
  </si>
  <si>
    <t xml:space="preserve">  - приобретение лицензий</t>
  </si>
  <si>
    <t xml:space="preserve">  - вспомогательные материалы</t>
  </si>
  <si>
    <t xml:space="preserve">  - прочие затраты </t>
  </si>
  <si>
    <t>8.3.</t>
  </si>
  <si>
    <t>8.4.</t>
  </si>
  <si>
    <t>8.5.</t>
  </si>
  <si>
    <t>8.6.</t>
  </si>
  <si>
    <t>8.7.</t>
  </si>
  <si>
    <t>8.8.</t>
  </si>
  <si>
    <t>6 (5-4)</t>
  </si>
  <si>
    <t>тенге/м3</t>
  </si>
  <si>
    <t>1.5.1.</t>
  </si>
  <si>
    <t>1.5.2.</t>
  </si>
  <si>
    <t>1.5.3.</t>
  </si>
  <si>
    <t>Покупные изделия</t>
  </si>
  <si>
    <t>Горюче-смазочные материалы (ГСМ)</t>
  </si>
  <si>
    <t>IX</t>
  </si>
  <si>
    <t>Отчет  ТОО "МАЭК-Казатомпром"                                                                                                                                                                      об исполнении тарифной сметы на производство тепловой энергии</t>
  </si>
  <si>
    <t>Тариф без НДС</t>
  </si>
  <si>
    <t>Отклонение, в %</t>
  </si>
  <si>
    <t>тенге /Гкал</t>
  </si>
  <si>
    <t>7.</t>
  </si>
  <si>
    <t xml:space="preserve">  - социальный налог</t>
  </si>
  <si>
    <t xml:space="preserve"> - налог на соцстрахование</t>
  </si>
  <si>
    <t xml:space="preserve"> - обязательные профессиональные пенсионные взносы (ОППВ)</t>
  </si>
  <si>
    <t xml:space="preserve">  - обязательное медицинское страхование </t>
  </si>
  <si>
    <t>к Правилам утверждения предельного уровня</t>
  </si>
  <si>
    <t>на регулируемые услуги (товары, работы)</t>
  </si>
  <si>
    <t>субъектов естественных монополий</t>
  </si>
  <si>
    <t>Приложение 3</t>
  </si>
  <si>
    <t>Приложение 1</t>
  </si>
  <si>
    <t>Отчет ТОО "МАЭК-Казатомпром"                                                                                                                                                                               об исполнении тарифной сметы на производство питьевой воды</t>
  </si>
  <si>
    <t>Отклонение                  в %</t>
  </si>
  <si>
    <t>Материальные затраты всего, в т.ч.:</t>
  </si>
  <si>
    <t>горюче-смазочные материалы</t>
  </si>
  <si>
    <t xml:space="preserve">  - минерализованная вода</t>
  </si>
  <si>
    <t xml:space="preserve">  - соцстрахование</t>
  </si>
  <si>
    <t xml:space="preserve">  - медицинское страхование</t>
  </si>
  <si>
    <t xml:space="preserve">  - ОППВ 5%</t>
  </si>
  <si>
    <t>Ремонт всего, в т.ч.:</t>
  </si>
  <si>
    <t xml:space="preserve"> 4.1</t>
  </si>
  <si>
    <t xml:space="preserve">дезинфекция, дератизация производственных помещений, вывоз мусора и другие коммунальные услуги </t>
  </si>
  <si>
    <t>другие расходы (услуги вспомогательных цехов )</t>
  </si>
  <si>
    <t>Расходы на содержание службы сбыта  всего, в т.ч.:</t>
  </si>
  <si>
    <t xml:space="preserve">амортизация </t>
  </si>
  <si>
    <t>8.</t>
  </si>
  <si>
    <t>Регулируемая база задействованных активов (РБА)</t>
  </si>
  <si>
    <t>Объем оказываемых услуг (товаров, работ)</t>
  </si>
  <si>
    <t xml:space="preserve">  -</t>
  </si>
  <si>
    <t>Тариф</t>
  </si>
  <si>
    <t>Приложение 2</t>
  </si>
  <si>
    <t>об исполнении тарифной сметы на производство технической воды</t>
  </si>
  <si>
    <t>Отклонение в %</t>
  </si>
  <si>
    <t>6 (5/4)</t>
  </si>
  <si>
    <t>Затраты на производство товаров и предоставление услуг, всего, в т.ч.</t>
  </si>
  <si>
    <t>Материальные затраты, всего, в т.ч.</t>
  </si>
  <si>
    <t>сырье и материалы</t>
  </si>
  <si>
    <t>топливо</t>
  </si>
  <si>
    <t xml:space="preserve">   - минерализованная вода</t>
  </si>
  <si>
    <t xml:space="preserve">   - электроэнергия</t>
  </si>
  <si>
    <t>Расходы на оплату труда, всего, в т.ч.</t>
  </si>
  <si>
    <t>Ремонт, всего, в т.ч.</t>
  </si>
  <si>
    <t>Прочие затраты (расшифровать)</t>
  </si>
  <si>
    <t>другие расходы (услуги вспомогательных цехов)</t>
  </si>
  <si>
    <t>Общие и административные расходы, всего: в том числе:</t>
  </si>
  <si>
    <t>Прочие расходы (расшифровать)</t>
  </si>
  <si>
    <t>Расходы на содержание служба сбыта</t>
  </si>
  <si>
    <t>Регулируемая база задействованных активов (РБА).</t>
  </si>
  <si>
    <t>в нат. показателях</t>
  </si>
  <si>
    <t>Приложение 4</t>
  </si>
  <si>
    <t>материальные затраты, всего, в т.ч.</t>
  </si>
  <si>
    <t xml:space="preserve">      минерализованная вода</t>
  </si>
  <si>
    <t xml:space="preserve">      дистиллят общего потока</t>
  </si>
  <si>
    <t>в натуральных показателях</t>
  </si>
  <si>
    <t>тенге/ м3</t>
  </si>
  <si>
    <t>к Правилам упрощенного государственногорегулирования деятельности субъектов естественных монополий малой мощности</t>
  </si>
  <si>
    <t>Наименование субъекта: ТОО "МАЭК-КАЗАТОМПРОМ"</t>
  </si>
  <si>
    <t>ОТЧЕТ</t>
  </si>
  <si>
    <t>Единица                 измерения</t>
  </si>
  <si>
    <t>7 (6/5)</t>
  </si>
  <si>
    <t>Затраты на производство товаров и предоставление услуг,  всего</t>
  </si>
  <si>
    <t>Прочие затраты, всего</t>
  </si>
  <si>
    <t>плата за использование природных ресурсов                              (воду и другие)</t>
  </si>
  <si>
    <t>6.14.</t>
  </si>
  <si>
    <t>6.15.</t>
  </si>
  <si>
    <t>плата  за  использование  природных  ресурсов                                (воду и другие)</t>
  </si>
  <si>
    <t>6.16.</t>
  </si>
  <si>
    <t>6.17.</t>
  </si>
  <si>
    <t>дезинфекция, дератизация  производстенных помещений, вывоз мусора и др. коммунальные  услуги</t>
  </si>
  <si>
    <t>6.18.</t>
  </si>
  <si>
    <t>6.19.</t>
  </si>
  <si>
    <t>6.20.</t>
  </si>
  <si>
    <t>6.21.</t>
  </si>
  <si>
    <t>6.22.</t>
  </si>
  <si>
    <t>6.23.</t>
  </si>
  <si>
    <t>6.24.</t>
  </si>
  <si>
    <t xml:space="preserve"> - услуги "Складского хозяйства"</t>
  </si>
  <si>
    <t xml:space="preserve"> - услуги "ОСПЧ"</t>
  </si>
  <si>
    <t xml:space="preserve"> - доставка работников "УАТ"</t>
  </si>
  <si>
    <t>Общие административные расходы</t>
  </si>
  <si>
    <t xml:space="preserve"> 7.1.</t>
  </si>
  <si>
    <t xml:space="preserve"> 7.1.1.</t>
  </si>
  <si>
    <t xml:space="preserve"> 7.1.2.</t>
  </si>
  <si>
    <t>другие расходы, всего</t>
  </si>
  <si>
    <t>7.12.1.</t>
  </si>
  <si>
    <t>7.12.2.</t>
  </si>
  <si>
    <t>7.12.3.</t>
  </si>
  <si>
    <t>7.12.4.</t>
  </si>
  <si>
    <t>7.12.5.</t>
  </si>
  <si>
    <t>7.12.6.</t>
  </si>
  <si>
    <t>7.12.7.</t>
  </si>
  <si>
    <t>Расходы на содержание службы сбыта</t>
  </si>
  <si>
    <t>амортизация  (в том числе водомеров)  связанная  со сбытом  услуг</t>
  </si>
  <si>
    <t>текущий  ремонт</t>
  </si>
  <si>
    <t>капитальный ремонт, не приводящий  к  росту стоимости  основных  фондов</t>
  </si>
  <si>
    <t>9.</t>
  </si>
  <si>
    <t>Прибыль</t>
  </si>
  <si>
    <t>Объём оказываемых услуг</t>
  </si>
  <si>
    <t>тыс.м3/     тыс.тенге</t>
  </si>
  <si>
    <t>тенге/ 1000м3</t>
  </si>
  <si>
    <t>к Правилам утверждения предельного уровня тарифов (цен, ставок сборов) и тарифных смет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</si>
  <si>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</t>
  </si>
  <si>
    <t>тарифов (цен, ставок сборов) и тарифных смет на регулируемые услуги (товары, работы) субъектов естественных монополий</t>
  </si>
  <si>
    <t>Предусмотрено в утвержденной тарифной смете на 2019 год</t>
  </si>
  <si>
    <t>3.2.1.</t>
  </si>
  <si>
    <t>3.2.2.</t>
  </si>
  <si>
    <r>
      <t xml:space="preserve">Предусмотрено в тарифной смете на 2019г </t>
    </r>
    <r>
      <rPr>
        <sz val="10"/>
        <rFont val="Times New Roman"/>
        <family val="1"/>
        <charset val="204"/>
      </rPr>
      <t>(утверждено приказом МАЭК № 22 от 03.03.2018г., с вводом в действие с 01.04.2018 г по 31.12.2018г)</t>
    </r>
  </si>
  <si>
    <t>энергия  (электроэнергия на технологические цели)</t>
  </si>
  <si>
    <t>3.2.3.</t>
  </si>
  <si>
    <t xml:space="preserve"> -</t>
  </si>
  <si>
    <t xml:space="preserve">Тарифная смета на услуги  по производству  электроэнергии </t>
  </si>
  <si>
    <t>за 2019 г.</t>
  </si>
  <si>
    <t>Отчетная калькуляция по электроэнергии</t>
  </si>
  <si>
    <t>за  2019 г.</t>
  </si>
  <si>
    <t>Наименование</t>
  </si>
  <si>
    <t>факт</t>
  </si>
  <si>
    <t>Калькуляционная единица - тиын/10кВтЧ.</t>
  </si>
  <si>
    <t>сумма, т.тенге</t>
  </si>
  <si>
    <t>Затраты на производство, всего</t>
  </si>
  <si>
    <t>Количество отпуска в тыс.кВтЧ</t>
  </si>
  <si>
    <t>Материальные затраты всего, в том числе:</t>
  </si>
  <si>
    <t>1.1.1.</t>
  </si>
  <si>
    <t>сырье, материалы и ГСМ</t>
  </si>
  <si>
    <t>Виды затрат</t>
  </si>
  <si>
    <t>затраты на товар</t>
  </si>
  <si>
    <t>1.1.2.</t>
  </si>
  <si>
    <t>мазут</t>
  </si>
  <si>
    <t>на единицу</t>
  </si>
  <si>
    <t>на объем</t>
  </si>
  <si>
    <t>1.1.3.</t>
  </si>
  <si>
    <t>1.1.4.</t>
  </si>
  <si>
    <t>энергоресурсы на технологические цели</t>
  </si>
  <si>
    <t>дистиллят глубокой очистки</t>
  </si>
  <si>
    <t>Мазут</t>
  </si>
  <si>
    <t>морская вода</t>
  </si>
  <si>
    <t>Морская вода</t>
  </si>
  <si>
    <t>теплоэнергия с паром</t>
  </si>
  <si>
    <t>Дистиллят глубокой очистки (ДГО)</t>
  </si>
  <si>
    <t>невозврат конденсата</t>
  </si>
  <si>
    <t>Дистиллят общего потока (ДОП)</t>
  </si>
  <si>
    <t>Затраты на оплату труда всего</t>
  </si>
  <si>
    <t>Тепло</t>
  </si>
  <si>
    <t>1.2.1.</t>
  </si>
  <si>
    <t>Невозврат конденсата</t>
  </si>
  <si>
    <t>производственный персонал, непосредственно участвующий в производстве</t>
  </si>
  <si>
    <t>Электроэнергия</t>
  </si>
  <si>
    <t xml:space="preserve">    в том числе</t>
  </si>
  <si>
    <t>Минерализованная вода</t>
  </si>
  <si>
    <t xml:space="preserve">       производственный персонал, занятый в обслуживании и управлении производством</t>
  </si>
  <si>
    <t>Материалы на технологию</t>
  </si>
  <si>
    <t>1.2.2.</t>
  </si>
  <si>
    <t>Социальный налог и соц.отчисления</t>
  </si>
  <si>
    <t>Заработная плата производственного персонала, непосредственно участвующего в производстве</t>
  </si>
  <si>
    <t>Социальный налог</t>
  </si>
  <si>
    <t xml:space="preserve">       -Социальный налог (21,22)</t>
  </si>
  <si>
    <t>Социальное страхование</t>
  </si>
  <si>
    <t xml:space="preserve">       -Налог на соц.страхование (260,261)</t>
  </si>
  <si>
    <t xml:space="preserve">       -Обязательные профессиональные пенсионные взносы (ОППВ) (264,265)</t>
  </si>
  <si>
    <t>НакладныеРасходы</t>
  </si>
  <si>
    <t xml:space="preserve">       -Обязательное медицинское страхование (268,269)</t>
  </si>
  <si>
    <t>15.1.</t>
  </si>
  <si>
    <t>15.2.</t>
  </si>
  <si>
    <t>Материальные затраты</t>
  </si>
  <si>
    <t>Прочие затраты</t>
  </si>
  <si>
    <t>15.3.</t>
  </si>
  <si>
    <t>Заработная плата производственного персонала, занятого в обслуживании и управлении производством</t>
  </si>
  <si>
    <t>энергоресурсы на хозбытовые нужды</t>
  </si>
  <si>
    <t>15.4.</t>
  </si>
  <si>
    <t>15.5.</t>
  </si>
  <si>
    <t xml:space="preserve">       -ДОП (80)</t>
  </si>
  <si>
    <t>15.7.</t>
  </si>
  <si>
    <t xml:space="preserve">       -Электроэнергия (85)</t>
  </si>
  <si>
    <t>15.8.</t>
  </si>
  <si>
    <t>Услуги сторонних организаций</t>
  </si>
  <si>
    <t xml:space="preserve">       -Горячая вода (87)</t>
  </si>
  <si>
    <t>15.9.</t>
  </si>
  <si>
    <t xml:space="preserve">       -Питьевая вода (88)</t>
  </si>
  <si>
    <t>I.</t>
  </si>
  <si>
    <t>Всего цеховая себестоимость</t>
  </si>
  <si>
    <t xml:space="preserve">       -Техническая вода (91)</t>
  </si>
  <si>
    <t xml:space="preserve">       -Тепло (92)</t>
  </si>
  <si>
    <t>Услуги  ЦЛ РЗАИТ</t>
  </si>
  <si>
    <t xml:space="preserve">       -ДГО (93)</t>
  </si>
  <si>
    <t>Услуги ЦДО</t>
  </si>
  <si>
    <t>услуги вспомогательных подразделений (8010.1.8)</t>
  </si>
  <si>
    <t>Услуги РУ БН-350</t>
  </si>
  <si>
    <t>Услуги вспомогательных подразделений</t>
  </si>
  <si>
    <t xml:space="preserve">       -АТУ (1)</t>
  </si>
  <si>
    <t>Ремонтный фонд</t>
  </si>
  <si>
    <t xml:space="preserve">       -ЦРТиТД (3)</t>
  </si>
  <si>
    <t>II.</t>
  </si>
  <si>
    <t xml:space="preserve">Производственная себестоимость </t>
  </si>
  <si>
    <t xml:space="preserve">       -Азотно-кслотная станция ТЭЦ-2 (4)</t>
  </si>
  <si>
    <t xml:space="preserve">       -ЦЛ РЗАиТ (5)</t>
  </si>
  <si>
    <t>Расходы периода</t>
  </si>
  <si>
    <t xml:space="preserve">       -ИВЦ (6)</t>
  </si>
  <si>
    <t>Налог на добычу полезных ископаемых</t>
  </si>
  <si>
    <t xml:space="preserve">       -ПКО (7)</t>
  </si>
  <si>
    <t>Фонд охраны окружающей среды</t>
  </si>
  <si>
    <t xml:space="preserve">       -ССДиТУ (8)</t>
  </si>
  <si>
    <t>Плата за водные ресурсы</t>
  </si>
  <si>
    <t xml:space="preserve">       -Демеркуризация (10)</t>
  </si>
  <si>
    <t>Расходы по реализации</t>
  </si>
  <si>
    <t xml:space="preserve">       -Морская насосная ТЭЦ-1 (29)</t>
  </si>
  <si>
    <t>Внереализационные операционные расходы</t>
  </si>
  <si>
    <t xml:space="preserve">       -Насосная по перекачке морской воды ТЭЦ-2 (30)</t>
  </si>
  <si>
    <t>III.</t>
  </si>
  <si>
    <t>Себестоимость товарной продукции</t>
  </si>
  <si>
    <t xml:space="preserve">       -Складское хозяйство (38)</t>
  </si>
  <si>
    <t xml:space="preserve">       -Служба безопасности (39)</t>
  </si>
  <si>
    <t>Контроль 15.</t>
  </si>
  <si>
    <t xml:space="preserve">       -НПС() Негосударственная противопожарная служба (40)</t>
  </si>
  <si>
    <t xml:space="preserve">       -ЦДС (41)</t>
  </si>
  <si>
    <t xml:space="preserve">Расходы периода </t>
  </si>
  <si>
    <t xml:space="preserve">       -СПБиОТ (51)</t>
  </si>
  <si>
    <t xml:space="preserve">       -АХС (52)</t>
  </si>
  <si>
    <t>э/э</t>
  </si>
  <si>
    <t xml:space="preserve">       -ИМЦ (53)</t>
  </si>
  <si>
    <t xml:space="preserve">       -Служба физической защиты (56)</t>
  </si>
  <si>
    <t>1.  Заработная плата административного персонала</t>
  </si>
  <si>
    <t>2.  Социальный налог</t>
  </si>
  <si>
    <t>3.  Налог на социальное страхование</t>
  </si>
  <si>
    <t>4.  Обязательное медицинское страхование</t>
  </si>
  <si>
    <t xml:space="preserve">       -Канализация  (86)</t>
  </si>
  <si>
    <t>5.  Амортизация</t>
  </si>
  <si>
    <t xml:space="preserve">       -Договорные работы  (94)</t>
  </si>
  <si>
    <t>6.  Налоговые платежи и сборы</t>
  </si>
  <si>
    <t xml:space="preserve">       -Расходы на охрану объектов (УССО)  (101)</t>
  </si>
  <si>
    <t xml:space="preserve">   в том числе</t>
  </si>
  <si>
    <t xml:space="preserve">       -Страхование  (104)</t>
  </si>
  <si>
    <t xml:space="preserve">      Налог на землю</t>
  </si>
  <si>
    <t xml:space="preserve">       -Услуги по метрологии и стандартизации  (105)</t>
  </si>
  <si>
    <t xml:space="preserve">      Налог на имущество</t>
  </si>
  <si>
    <t xml:space="preserve">       -СЭС (дератизациия ,дезинфекция)  (108)</t>
  </si>
  <si>
    <t xml:space="preserve">      Налог на транспортные средства</t>
  </si>
  <si>
    <t xml:space="preserve">       -Транспортировка энергоресурсов УЭС,ТВСиВ,АУЭС  (113)</t>
  </si>
  <si>
    <t xml:space="preserve">      Налог на добычу полезных ископаемых</t>
  </si>
  <si>
    <t xml:space="preserve">       -Обучение и переподготовка работников  (114)</t>
  </si>
  <si>
    <t xml:space="preserve">      НДС не подлежащий учету по пропорциальному методу</t>
  </si>
  <si>
    <t xml:space="preserve">       -Автоуслуги сторонние  (115)</t>
  </si>
  <si>
    <t xml:space="preserve">      Плата за пользование земельными участками</t>
  </si>
  <si>
    <t xml:space="preserve">       -Утилизация ТБО,вывоз мусора  (126)</t>
  </si>
  <si>
    <t xml:space="preserve">      РЧС РК</t>
  </si>
  <si>
    <t xml:space="preserve">       -Профосмотр (141)</t>
  </si>
  <si>
    <t xml:space="preserve">      Сбор за проезд автотранспорта по территории РК</t>
  </si>
  <si>
    <t xml:space="preserve">       -Спецпитание (молоко)  (142)</t>
  </si>
  <si>
    <t xml:space="preserve">      Другие налоги, сборы и отчисления</t>
  </si>
  <si>
    <t xml:space="preserve">       -Абонентская плата за телефони установка  (145)</t>
  </si>
  <si>
    <t>7.  Командировочные</t>
  </si>
  <si>
    <t xml:space="preserve">       -Суточные по территории РК подготовка кадров  (251)</t>
  </si>
  <si>
    <t>8.  Представительские</t>
  </si>
  <si>
    <t xml:space="preserve">       -Проезд по территории РК подготовка кадров  (253)</t>
  </si>
  <si>
    <t>9.  Коммунальные услуги</t>
  </si>
  <si>
    <t xml:space="preserve">       -Проживание на территории РК подготовка кадров  (255)</t>
  </si>
  <si>
    <t>1.6.</t>
  </si>
  <si>
    <t>Ремонт всего</t>
  </si>
  <si>
    <t xml:space="preserve">      Электроэнергия</t>
  </si>
  <si>
    <t>1.7.</t>
  </si>
  <si>
    <t>Услуги по диспетчеризации</t>
  </si>
  <si>
    <t xml:space="preserve">      Горячая вода</t>
  </si>
  <si>
    <t>1.8.</t>
  </si>
  <si>
    <t>Услуги по организации балансирования производства-потребления электроэнергии</t>
  </si>
  <si>
    <t xml:space="preserve">      Питьевая вода</t>
  </si>
  <si>
    <t>1.9.</t>
  </si>
  <si>
    <t>Работы по поддержанию РУ БН-350 в ядернобезопасном, пожаробезопасном, радиационнобезопасном состоянии</t>
  </si>
  <si>
    <t xml:space="preserve">      Техническая вода</t>
  </si>
  <si>
    <t xml:space="preserve">      Тепло</t>
  </si>
  <si>
    <t>Общие административные расходы,всего</t>
  </si>
  <si>
    <t>10.  Услуги связи</t>
  </si>
  <si>
    <t>2.1.1.</t>
  </si>
  <si>
    <t>11. Оплата консалтинговых,аудиторских, маркетинговых услуг</t>
  </si>
  <si>
    <t>2.1.2.</t>
  </si>
  <si>
    <t>12. Услуги банка</t>
  </si>
  <si>
    <t>14. Подготовка кадров</t>
  </si>
  <si>
    <t xml:space="preserve">       -Социальный налог</t>
  </si>
  <si>
    <t>15. Охрана труда и техника безопасности</t>
  </si>
  <si>
    <t xml:space="preserve">       -Налог на соц.страхование</t>
  </si>
  <si>
    <t xml:space="preserve">       -Обязательное медицинское страхование</t>
  </si>
  <si>
    <t xml:space="preserve">      Материалы на улучшение условий труда</t>
  </si>
  <si>
    <t>2.1.4.</t>
  </si>
  <si>
    <t xml:space="preserve">      Материалы на ТБ,ППБ</t>
  </si>
  <si>
    <t>2.1.5.</t>
  </si>
  <si>
    <t>налоговые платежи и сборы</t>
  </si>
  <si>
    <t xml:space="preserve">      Спецодежда и СИЗ</t>
  </si>
  <si>
    <t>2.1.6.</t>
  </si>
  <si>
    <t>16. Плата за пользование водными ресурсами</t>
  </si>
  <si>
    <t>2.1.7.</t>
  </si>
  <si>
    <t>представительские</t>
  </si>
  <si>
    <t>17. Страхование</t>
  </si>
  <si>
    <t>2.1.8.</t>
  </si>
  <si>
    <t>19. Плата за эмиссии в окружающую среду</t>
  </si>
  <si>
    <t>20. Услуги сторонних организаций</t>
  </si>
  <si>
    <t xml:space="preserve">       -Электроэнергия</t>
  </si>
  <si>
    <t xml:space="preserve">       -Горячая вода</t>
  </si>
  <si>
    <t xml:space="preserve">      Канализация</t>
  </si>
  <si>
    <t xml:space="preserve">       -Питьевая вода</t>
  </si>
  <si>
    <t>Договорные работы</t>
  </si>
  <si>
    <t xml:space="preserve">       -Техническая вода</t>
  </si>
  <si>
    <t xml:space="preserve">       -Тепло</t>
  </si>
  <si>
    <t xml:space="preserve">                    Абонентская плата абон. ящика</t>
  </si>
  <si>
    <t>2.1.9.</t>
  </si>
  <si>
    <t xml:space="preserve">                    Аренда междугородних аналоговых тел. каналов связи</t>
  </si>
  <si>
    <t>2.1.10.</t>
  </si>
  <si>
    <t>оплата консалт., аудиторск., маркет.услуг</t>
  </si>
  <si>
    <t xml:space="preserve">                    Аренда помещений</t>
  </si>
  <si>
    <t>2.1.11.</t>
  </si>
  <si>
    <t xml:space="preserve">                    Доставка счетов-фактур</t>
  </si>
  <si>
    <t>2.1.12.</t>
  </si>
  <si>
    <t xml:space="preserve">                    Доступ к Информационной Системе Электронных Закупок</t>
  </si>
  <si>
    <t>2.1.13.</t>
  </si>
  <si>
    <t xml:space="preserve">                    Информационная система Юрист VIP. ПАРАГРАФ (Эксперт,строймастер(сетевая версия))</t>
  </si>
  <si>
    <t>2.1.14.</t>
  </si>
  <si>
    <t xml:space="preserve">                    Оценка неликвидов, ТМЦ  , металлолома</t>
  </si>
  <si>
    <t xml:space="preserve">                    Оценка ограничений электрической мощности электростанций</t>
  </si>
  <si>
    <t xml:space="preserve">       -Материалы на улучшение условий труда</t>
  </si>
  <si>
    <t xml:space="preserve">                    Проведение мониторинга состояния животного и растительного мира Шора-Караколь</t>
  </si>
  <si>
    <t xml:space="preserve">       -Материалы на ТБ,ППБ</t>
  </si>
  <si>
    <t xml:space="preserve">                    Работы НИ в области охраны окружающей среды</t>
  </si>
  <si>
    <t xml:space="preserve">       -Спецодежда и СИЗ</t>
  </si>
  <si>
    <t xml:space="preserve">                    Услуги актуариев</t>
  </si>
  <si>
    <t>2.1.15.</t>
  </si>
  <si>
    <t xml:space="preserve">                    Услуги по администрированию и техническому обслуживанию программно-аппаратного комплекса</t>
  </si>
  <si>
    <t>2.1.16.</t>
  </si>
  <si>
    <t xml:space="preserve">                    Услуги по диагностированию, испытаниям, анализу, экспертизе</t>
  </si>
  <si>
    <t>2.1.17.</t>
  </si>
  <si>
    <t xml:space="preserve">                    Услуги по мойке автотранспорта</t>
  </si>
  <si>
    <t>2.1.18.</t>
  </si>
  <si>
    <t>Плата за эмиссии в окружающую среду</t>
  </si>
  <si>
    <t xml:space="preserve">                    Услуги по организации /проведению концерта, мероприятий, форумов, культурных , семинаров</t>
  </si>
  <si>
    <t>2.1.19.</t>
  </si>
  <si>
    <t xml:space="preserve">                    Услуги по предоставлению информации (сервисные услуги сопровождения СЭД)</t>
  </si>
  <si>
    <t xml:space="preserve">                    Услуги по предоставлению информации(сервисные услуги сопровождения СЭД) с 05, 2020 использовать 163</t>
  </si>
  <si>
    <t xml:space="preserve">       -Канализация</t>
  </si>
  <si>
    <t xml:space="preserve">                    Услуги по проведению аудита систем менеджмента</t>
  </si>
  <si>
    <t xml:space="preserve">       -Договорные работы</t>
  </si>
  <si>
    <t xml:space="preserve">                    Услуги спецсвязи</t>
  </si>
  <si>
    <t xml:space="preserve">       -Услуги СЭС</t>
  </si>
  <si>
    <t xml:space="preserve">                    Экспертиза титульных списков</t>
  </si>
  <si>
    <t xml:space="preserve">       -Телегр. и почтовые расходы</t>
  </si>
  <si>
    <t xml:space="preserve">                    Экспертное заключение на соответствие требованиям промышленной безопасности</t>
  </si>
  <si>
    <t xml:space="preserve">       -Прочие</t>
  </si>
  <si>
    <t>СЭС (дератизация,дезинфекция)</t>
  </si>
  <si>
    <t xml:space="preserve">       -Техническая и спец.литература</t>
  </si>
  <si>
    <t xml:space="preserve">      Телеграфные и почтовые расходы</t>
  </si>
  <si>
    <t xml:space="preserve">       -Утилизация ТБО и вывоз мусора</t>
  </si>
  <si>
    <t xml:space="preserve">      Техническая и спец.литература</t>
  </si>
  <si>
    <t xml:space="preserve">       -Содержание транспортных средств</t>
  </si>
  <si>
    <t xml:space="preserve">      Утилизация ТБО,вывоз мусора</t>
  </si>
  <si>
    <t xml:space="preserve">       -Информационные услуги</t>
  </si>
  <si>
    <t xml:space="preserve">      Информационные услуги</t>
  </si>
  <si>
    <t xml:space="preserve">       -Юридические услуги нотариальных учреждений</t>
  </si>
  <si>
    <t xml:space="preserve">      Юридические услуги нотариальных учреждений</t>
  </si>
  <si>
    <t xml:space="preserve">       -Аренда других ОС</t>
  </si>
  <si>
    <t>21. Вспомогательные материалы</t>
  </si>
  <si>
    <t xml:space="preserve">       -Услуги Госэкспертизы</t>
  </si>
  <si>
    <t>22. Прочие затраты</t>
  </si>
  <si>
    <t>2.1.20.</t>
  </si>
  <si>
    <t>2.1.21.</t>
  </si>
  <si>
    <t xml:space="preserve">      Капитальный ремонт</t>
  </si>
  <si>
    <t xml:space="preserve">      Текущий ремонт</t>
  </si>
  <si>
    <t xml:space="preserve">       -Капитальный ремонт</t>
  </si>
  <si>
    <t>23. ИТОГО</t>
  </si>
  <si>
    <t xml:space="preserve">       -Текущий ремонт</t>
  </si>
  <si>
    <t>2.2.1.</t>
  </si>
  <si>
    <t>2.2.2.</t>
  </si>
  <si>
    <t>2.2.4.</t>
  </si>
  <si>
    <t>2.2.5.</t>
  </si>
  <si>
    <t>2.2.6.</t>
  </si>
  <si>
    <t>текущий ремонт</t>
  </si>
  <si>
    <t>2.2.7.</t>
  </si>
  <si>
    <t>капитальный ремонт, не приводящий к увеличению стоимости основных средств</t>
  </si>
  <si>
    <t>2.2.8.</t>
  </si>
  <si>
    <t>2.2.9.</t>
  </si>
  <si>
    <t>другие в.т.ч</t>
  </si>
  <si>
    <t>2.2.9.1.</t>
  </si>
  <si>
    <t xml:space="preserve"> -коммунальные услуги</t>
  </si>
  <si>
    <t>2.2.9.2.</t>
  </si>
  <si>
    <t xml:space="preserve"> -охрана труда и техника безопасности</t>
  </si>
  <si>
    <t xml:space="preserve">       -Спецпитание</t>
  </si>
  <si>
    <t>2.2.9.3.</t>
  </si>
  <si>
    <t xml:space="preserve"> -эксплуатационные услуги</t>
  </si>
  <si>
    <t>2.2.9.4.</t>
  </si>
  <si>
    <t xml:space="preserve"> -доступ и сопровождение</t>
  </si>
  <si>
    <t>2.2.9.5.</t>
  </si>
  <si>
    <t xml:space="preserve"> -услуги сторонних организаций</t>
  </si>
  <si>
    <t>2.2.9.6.</t>
  </si>
  <si>
    <t xml:space="preserve"> -вспомогательные материалы</t>
  </si>
  <si>
    <t>2.2.9.7.</t>
  </si>
  <si>
    <t xml:space="preserve"> -прочие</t>
  </si>
  <si>
    <t>2.2.9.7.1</t>
  </si>
  <si>
    <t xml:space="preserve">     -прочие расходы банка</t>
  </si>
  <si>
    <t xml:space="preserve">Выплаты определенные условиями коллективного трудового договора  </t>
  </si>
  <si>
    <t xml:space="preserve">  17  Компенсации (сокращ. штатов, отзыв из отпуска, неиспол. отпуск)</t>
  </si>
  <si>
    <t>3.1.1.</t>
  </si>
  <si>
    <t>Компенсация за неиспользованный отпуск</t>
  </si>
  <si>
    <t xml:space="preserve">  21  Отчисления от ФОТ (социальный налог)</t>
  </si>
  <si>
    <t>3.1.2.</t>
  </si>
  <si>
    <t>Премия 8 марта</t>
  </si>
  <si>
    <t xml:space="preserve">  220  Резерв по сомнительным долгам</t>
  </si>
  <si>
    <t>3.1.3.</t>
  </si>
  <si>
    <t>Премия к юбилейным датам работника</t>
  </si>
  <si>
    <t xml:space="preserve">  226  Резерв по отпускам</t>
  </si>
  <si>
    <t>3.1.4.</t>
  </si>
  <si>
    <t>Компенсационные выплаты в связи с выходом на пенсию</t>
  </si>
  <si>
    <t xml:space="preserve">  260  Социальные отчисления от ФОТ</t>
  </si>
  <si>
    <t>3.1.5.</t>
  </si>
  <si>
    <t>Премия ко Дню Энергетика</t>
  </si>
  <si>
    <t xml:space="preserve">  264  Профессиональный  пенсионный взнос 5%</t>
  </si>
  <si>
    <t>3.1.6.</t>
  </si>
  <si>
    <t>Премия ко Дню атомной промышленности</t>
  </si>
  <si>
    <t xml:space="preserve">  268  Обязательное медицинское страхование</t>
  </si>
  <si>
    <t>3.1.7.</t>
  </si>
  <si>
    <t>Премия Чернобыльцам</t>
  </si>
  <si>
    <t xml:space="preserve">  286  Компенсационные выплаты  в связи с выходом на пенсию</t>
  </si>
  <si>
    <t>3.1.8.</t>
  </si>
  <si>
    <t>Компенсация за оздоровление детей в летнем лагере</t>
  </si>
  <si>
    <t>Итого развернутое</t>
  </si>
  <si>
    <t>3.1.9.</t>
  </si>
  <si>
    <t>Премия воинам интернационалистам (Афганистан)</t>
  </si>
  <si>
    <t>Итого</t>
  </si>
  <si>
    <t>2 330 718 700,93</t>
  </si>
  <si>
    <t>3.1.10.</t>
  </si>
  <si>
    <t>Компенсация новогодних детских подарков</t>
  </si>
  <si>
    <t>3.1.11.</t>
  </si>
  <si>
    <t>Социальный налог (от данных выплат)</t>
  </si>
  <si>
    <t>3.1.12.</t>
  </si>
  <si>
    <t>Социальные отчисления (от данных выплат)</t>
  </si>
  <si>
    <t xml:space="preserve">Резерв по отпускам и сомнительным долгам </t>
  </si>
  <si>
    <t>Резерв по отпускам</t>
  </si>
  <si>
    <t>Резерв по сомнительным долгам</t>
  </si>
  <si>
    <t>3.3.</t>
  </si>
  <si>
    <t>Расходы на проведение культурно-массовых и спортивных мероприятий</t>
  </si>
  <si>
    <t>3.4.</t>
  </si>
  <si>
    <t>Кассовое обслуживание населения по оплате потребленных энергоресурсов</t>
  </si>
  <si>
    <t>Тарифная смета</t>
  </si>
  <si>
    <t>Отчетная калькуляция по теплоэнергии</t>
  </si>
  <si>
    <t>ТОО "МАЭК-Казатомпром"</t>
  </si>
  <si>
    <t>на производство тепловой энергии</t>
  </si>
  <si>
    <t>Калькуляционная единица - тенге/Гкал</t>
  </si>
  <si>
    <t>Статьи расходов</t>
  </si>
  <si>
    <t>Затраты на производство товаров и предоставление регулируемых услуг всего, в т.ч.</t>
  </si>
  <si>
    <t>Количество отпуска в Гкал</t>
  </si>
  <si>
    <t xml:space="preserve">       -ГСМ-Дизтопливо (36)</t>
  </si>
  <si>
    <t xml:space="preserve">       -ГСМ-Бензин (37)</t>
  </si>
  <si>
    <t xml:space="preserve">       -ГСМ-Масла смазочные (38)</t>
  </si>
  <si>
    <t xml:space="preserve">       -ГСМ-Газобал.продукция.Газовые смеси (39)</t>
  </si>
  <si>
    <t xml:space="preserve">       -Прочие ГСМ (40)</t>
  </si>
  <si>
    <t>Топливо</t>
  </si>
  <si>
    <t>Расшифровка  статьи "Прочие в расходах по реализации" за 2019 г.</t>
  </si>
  <si>
    <t>т/э</t>
  </si>
  <si>
    <t>Всего</t>
  </si>
  <si>
    <t>электроэнергия</t>
  </si>
  <si>
    <t>тепловая энергия</t>
  </si>
  <si>
    <t>питьевая вода</t>
  </si>
  <si>
    <t>техническая вода</t>
  </si>
  <si>
    <t>социальный налог</t>
  </si>
  <si>
    <t>налог на социальное страхование</t>
  </si>
  <si>
    <t>обязательное медицинское страхование</t>
  </si>
  <si>
    <t>Командировочнве расходы</t>
  </si>
  <si>
    <t xml:space="preserve">       в том числе</t>
  </si>
  <si>
    <t xml:space="preserve">                 электроэнергия</t>
  </si>
  <si>
    <t xml:space="preserve">                 горячая вода</t>
  </si>
  <si>
    <t xml:space="preserve">                 питьевая вода</t>
  </si>
  <si>
    <t xml:space="preserve">                 техническая вода</t>
  </si>
  <si>
    <t xml:space="preserve">                 тепло</t>
  </si>
  <si>
    <t xml:space="preserve">                 материалы на улучшение условий труда</t>
  </si>
  <si>
    <t xml:space="preserve">                 материалы на ТБ,ППБ</t>
  </si>
  <si>
    <t xml:space="preserve">                 спецодежда и  СИЗ</t>
  </si>
  <si>
    <t xml:space="preserve">                 спецпитание (молоко)</t>
  </si>
  <si>
    <t xml:space="preserve">          -Информационные услуги</t>
  </si>
  <si>
    <t xml:space="preserve">          -Страхование</t>
  </si>
  <si>
    <t xml:space="preserve">          -Договорные работы</t>
  </si>
  <si>
    <t xml:space="preserve">                  в том числе</t>
  </si>
  <si>
    <t xml:space="preserve">                       -Услуги по сервисному обслуживанию абонентов</t>
  </si>
  <si>
    <t xml:space="preserve"> -прочие (расшифровать)</t>
  </si>
  <si>
    <t xml:space="preserve">    -командировочные расходы</t>
  </si>
  <si>
    <t xml:space="preserve">    -прочие расходы банка</t>
  </si>
  <si>
    <t>Субконто</t>
  </si>
  <si>
    <t>Дебет</t>
  </si>
  <si>
    <t xml:space="preserve">  2  Оплата труда АУА</t>
  </si>
  <si>
    <t xml:space="preserve">  94  Договорные работы</t>
  </si>
  <si>
    <t xml:space="preserve">  95  Информационные услуги</t>
  </si>
  <si>
    <t xml:space="preserve">  104  Страхование</t>
  </si>
  <si>
    <t xml:space="preserve">  153  Прочие расходы банков</t>
  </si>
  <si>
    <t>369 465 051,76</t>
  </si>
  <si>
    <t>09,12 мес</t>
  </si>
  <si>
    <t>7.3.1.</t>
  </si>
  <si>
    <t>7.3.2.</t>
  </si>
  <si>
    <t>7.3.3.</t>
  </si>
  <si>
    <t>7.3.4.</t>
  </si>
  <si>
    <t>7.3.5.</t>
  </si>
  <si>
    <t>7.3.6.</t>
  </si>
  <si>
    <t>7.3.6.1</t>
  </si>
  <si>
    <t>7.3.6.2</t>
  </si>
  <si>
    <t>7.3.6.3</t>
  </si>
  <si>
    <t>7.3.6.4</t>
  </si>
  <si>
    <t>7.3.6.5</t>
  </si>
  <si>
    <t>7.3.6.6</t>
  </si>
  <si>
    <t>7.3.6.7</t>
  </si>
  <si>
    <t>7.3.6.7.1</t>
  </si>
  <si>
    <t xml:space="preserve">       командировочные расходы</t>
  </si>
  <si>
    <t>7.3.6.7.2</t>
  </si>
  <si>
    <t xml:space="preserve">       прочие расходы банка</t>
  </si>
  <si>
    <t>на производство питьевой воды</t>
  </si>
  <si>
    <t>Отчетная калькуляция по питьевой воде</t>
  </si>
  <si>
    <t xml:space="preserve"> год </t>
  </si>
  <si>
    <t>Затраты на производство товаров и предоставление регулируемых услуг, всего</t>
  </si>
  <si>
    <t>Калькуляционная единица - тенге/тн</t>
  </si>
  <si>
    <t>Количество отпуска в тн</t>
  </si>
  <si>
    <t xml:space="preserve">       -Минерализованная вода (82)</t>
  </si>
  <si>
    <t xml:space="preserve">       -Электроэнергия (83)</t>
  </si>
  <si>
    <t>капитальный ремонт, не приводящий к увеличению стоимости осн-х фондов</t>
  </si>
  <si>
    <t xml:space="preserve">       -Спецпитание (молоко)</t>
  </si>
  <si>
    <t xml:space="preserve">другие расходы </t>
  </si>
  <si>
    <t xml:space="preserve">  - услуги вспомогательных цехов</t>
  </si>
  <si>
    <t>питьевая</t>
  </si>
  <si>
    <t xml:space="preserve">    командировочные расходы</t>
  </si>
  <si>
    <t xml:space="preserve">    прочие расходы банка</t>
  </si>
  <si>
    <t>Отчетная калькуляция по технической воде</t>
  </si>
  <si>
    <t>на производство технической воды</t>
  </si>
  <si>
    <t>за Декабрь 2019 г.</t>
  </si>
  <si>
    <t>Затраты на оплату труда всего, в т.ч.</t>
  </si>
  <si>
    <t xml:space="preserve">      командировочные расходы</t>
  </si>
  <si>
    <t xml:space="preserve">      прочие расходы банка</t>
  </si>
  <si>
    <t>Отчетная калькуляция по горячей воде</t>
  </si>
  <si>
    <t>на производство горячей воды</t>
  </si>
  <si>
    <t>минвода</t>
  </si>
  <si>
    <t>ДОП</t>
  </si>
  <si>
    <t>капитальный ремонт, не приводящий к увеличению стоимости основных фондов</t>
  </si>
  <si>
    <t>Расходы периода  всего, в т.ч.</t>
  </si>
  <si>
    <t>Прочие расходы всего, в т.ч.</t>
  </si>
  <si>
    <t>6.3.9.</t>
  </si>
  <si>
    <t>Отчетная калькуляция по морской воде</t>
  </si>
  <si>
    <t>по подаче Морской воды</t>
  </si>
  <si>
    <t>Наименование показателей тарифной сметы</t>
  </si>
  <si>
    <t xml:space="preserve">Утверждено ДКРЕМиЗК по Пр 72-ОД  с 01.10.2015 г   </t>
  </si>
  <si>
    <t>Калькуляционная единица - тенге/1000м3</t>
  </si>
  <si>
    <t>Количество отпуска в тыс.м3</t>
  </si>
  <si>
    <t>Заработная плата</t>
  </si>
  <si>
    <t xml:space="preserve"> - производственный персонал,непосредственно учавствующий в производстве</t>
  </si>
  <si>
    <t xml:space="preserve"> - производственный персонал,занятый в обслуживании и управлении производством</t>
  </si>
  <si>
    <t>Прочие затраты всего, в т.ч.:</t>
  </si>
  <si>
    <t>плата за использование природных ресурсов (воду и другие)</t>
  </si>
  <si>
    <t>6.12.</t>
  </si>
  <si>
    <t xml:space="preserve">  - услуги "Складского хозяйства"</t>
  </si>
  <si>
    <t xml:space="preserve">  - услуги "ОСПЧ"</t>
  </si>
  <si>
    <t xml:space="preserve">  - доставка работников "УАТ"</t>
  </si>
  <si>
    <t>Общие административные расходы, всего</t>
  </si>
  <si>
    <t>Затраты на  оплату труда всего, в т.ч.:</t>
  </si>
  <si>
    <t xml:space="preserve">  -заработная плата административного персонала</t>
  </si>
  <si>
    <t xml:space="preserve"> -социальный налог и соцотчисления</t>
  </si>
  <si>
    <t>командировочные услуги</t>
  </si>
  <si>
    <t>другие расходы всего, в т.ч.:</t>
  </si>
  <si>
    <t>амортизация (в том числе водомеров) связанная со сбытом услуг</t>
  </si>
  <si>
    <t>Расходы периода ДАРЕМ</t>
  </si>
  <si>
    <t>2019 г.</t>
  </si>
  <si>
    <t>26.02.20 10:22:02</t>
  </si>
  <si>
    <t>техническая</t>
  </si>
  <si>
    <t xml:space="preserve">горячая </t>
  </si>
  <si>
    <t>Итого (2+11)  (5610.0)</t>
  </si>
  <si>
    <t>ОСВ</t>
  </si>
  <si>
    <t>ТОО 'МАЭК-Казатомпром'</t>
  </si>
  <si>
    <t>Анализ счета 5610.0</t>
  </si>
  <si>
    <t>Период: 2019 г.</t>
  </si>
  <si>
    <t>Детализация по  кор.субсчетам и субконто</t>
  </si>
  <si>
    <t>Выводимые данные: сумма</t>
  </si>
  <si>
    <t>Кор.счет</t>
  </si>
  <si>
    <t>С кред. счетов</t>
  </si>
  <si>
    <t>В дебет счетов</t>
  </si>
  <si>
    <t>Нач.сальдо</t>
  </si>
  <si>
    <t>5610.1</t>
  </si>
  <si>
    <t>5610.3</t>
  </si>
  <si>
    <t>Оборот</t>
  </si>
  <si>
    <t>Кон.сальдо</t>
  </si>
  <si>
    <t xml:space="preserve">  3  Оплата труда занятых на  обслуживании</t>
  </si>
  <si>
    <t xml:space="preserve">  13  Оплата по листу временной нетрудоспособности</t>
  </si>
  <si>
    <t xml:space="preserve">  117  Бланки (талонов спецпитания)</t>
  </si>
  <si>
    <t xml:space="preserve">  37  ГСМ- Бензин</t>
  </si>
  <si>
    <t xml:space="preserve">  44  Материалы</t>
  </si>
  <si>
    <t xml:space="preserve">  47  Средства и предметы труда.хозинвентарь</t>
  </si>
  <si>
    <t xml:space="preserve">  55  Канцелярские расходы</t>
  </si>
  <si>
    <t xml:space="preserve">  45  Материалы на улучшение условий труда</t>
  </si>
  <si>
    <t xml:space="preserve">  46  Материалы на ТБ,ППБ</t>
  </si>
  <si>
    <t xml:space="preserve">  54  Спецодежда и  СИЗ</t>
  </si>
  <si>
    <t xml:space="preserve">  60  Здания</t>
  </si>
  <si>
    <t xml:space="preserve">  61  Сооружения</t>
  </si>
  <si>
    <t xml:space="preserve">  62  Передаточные устройства (16,17гр)</t>
  </si>
  <si>
    <t xml:space="preserve">  63  Силовые машины и оборудование</t>
  </si>
  <si>
    <t xml:space="preserve">  64  Рабочие машина и оборудование</t>
  </si>
  <si>
    <t xml:space="preserve">  65  Насосы</t>
  </si>
  <si>
    <t xml:space="preserve">  66  Мобильный транспорт</t>
  </si>
  <si>
    <t xml:space="preserve">  67  Компьют.пер.устр. и обор.по обраб.данных</t>
  </si>
  <si>
    <t xml:space="preserve">  68  Офисная мебель</t>
  </si>
  <si>
    <t xml:space="preserve">  69  Инструмент и прочий хозинвентарь</t>
  </si>
  <si>
    <t xml:space="preserve">  70  Копир.множит.техника</t>
  </si>
  <si>
    <t xml:space="preserve">  71  КИП.лабораторное оборудование</t>
  </si>
  <si>
    <t xml:space="preserve">  74  Прочие фиксированные активы</t>
  </si>
  <si>
    <t xml:space="preserve">  75  Програмное обеспечение</t>
  </si>
  <si>
    <t xml:space="preserve">  85  Электроэнергия</t>
  </si>
  <si>
    <t xml:space="preserve">  87  Горячая вода</t>
  </si>
  <si>
    <t xml:space="preserve">  88  Питьевая вода</t>
  </si>
  <si>
    <t xml:space="preserve">  91  Техническая вода</t>
  </si>
  <si>
    <t xml:space="preserve">  92  Тепло</t>
  </si>
  <si>
    <t xml:space="preserve">  114  Обучение и переподготовка работников</t>
  </si>
  <si>
    <t xml:space="preserve">  251  Суточные по территории РК подготовка кадров</t>
  </si>
  <si>
    <t xml:space="preserve">  253  Проезд по территории РК подготовка кадров</t>
  </si>
  <si>
    <t xml:space="preserve">  254  Проезд за пределами РК подготовка кадров</t>
  </si>
  <si>
    <t xml:space="preserve">  255  Проживание на территории РК подготовка кадров</t>
  </si>
  <si>
    <t xml:space="preserve">  96  Аудиторские услуги</t>
  </si>
  <si>
    <t xml:space="preserve">  86  Канализация</t>
  </si>
  <si>
    <t xml:space="preserve">  100  Юридические услуги.нотариальных учреждений</t>
  </si>
  <si>
    <t xml:space="preserve">  108  СЭС (дератизация , дезенфекция)</t>
  </si>
  <si>
    <t xml:space="preserve">  118  Телегр.и почтовые расходы</t>
  </si>
  <si>
    <t xml:space="preserve">  125  Техническая и спец. литература</t>
  </si>
  <si>
    <t xml:space="preserve">  126  Утилизация ТБО,вывоз мусора</t>
  </si>
  <si>
    <t xml:space="preserve">  145  Абоненская за телефон и установка</t>
  </si>
  <si>
    <t xml:space="preserve">  146  Междугор.связь</t>
  </si>
  <si>
    <t xml:space="preserve">  147  Услуги сотовой связи</t>
  </si>
  <si>
    <t xml:space="preserve">  148  Фельд.связь</t>
  </si>
  <si>
    <t xml:space="preserve">  149  Услуги Интернет</t>
  </si>
  <si>
    <t xml:space="preserve">  150  Комисионные по конвертации</t>
  </si>
  <si>
    <t xml:space="preserve">  151  Кассовые операции по з/пл.и оформл.плат.докум.</t>
  </si>
  <si>
    <t xml:space="preserve">  152  Услуги инкассации</t>
  </si>
  <si>
    <t xml:space="preserve">  160  Суточные по территории РК</t>
  </si>
  <si>
    <t xml:space="preserve">  161  Суточные за пределами РК</t>
  </si>
  <si>
    <t xml:space="preserve">  162  Проезд по территории РК</t>
  </si>
  <si>
    <t xml:space="preserve">  163  Проезд  за пределами РК</t>
  </si>
  <si>
    <t xml:space="preserve">  166  Проживание на территории РК</t>
  </si>
  <si>
    <t xml:space="preserve">  167  Проживание за пределами РК</t>
  </si>
  <si>
    <t xml:space="preserve">  175  Налог на землю</t>
  </si>
  <si>
    <t xml:space="preserve">  176  Налог на имущество</t>
  </si>
  <si>
    <t xml:space="preserve">  177  Налог на транспортные средства</t>
  </si>
  <si>
    <t xml:space="preserve">  178  Налог на добычу полезных ископаемых</t>
  </si>
  <si>
    <t xml:space="preserve">  181  Другие налоги, сборы и отчисления</t>
  </si>
  <si>
    <t xml:space="preserve">  186  НДС не подлежащий отнесению в зачет</t>
  </si>
  <si>
    <t xml:space="preserve">  192  Плата  за пользование земельными участками</t>
  </si>
  <si>
    <t xml:space="preserve">  193  РЧС РК</t>
  </si>
  <si>
    <t xml:space="preserve">  194  Сбор за проезд автотранспорта по территории РК</t>
  </si>
  <si>
    <t xml:space="preserve">  179  Фонд охраны природы</t>
  </si>
  <si>
    <t xml:space="preserve">  180  Плата за пользование водными рес.поверх.источников</t>
  </si>
  <si>
    <t xml:space="preserve">  205  Представительские расходы по норме (прием делегаций)</t>
  </si>
  <si>
    <t xml:space="preserve">  235  Капитальный ремонт</t>
  </si>
  <si>
    <t xml:space="preserve">  236  Текущий ремонт</t>
  </si>
  <si>
    <t>1 880 507 667,53</t>
  </si>
  <si>
    <t>Услуги консультационные по вопросам управления</t>
  </si>
  <si>
    <t>Услуги по администрированию и техническому обслуживанию программно-аппаратного комплекса</t>
  </si>
  <si>
    <t>Услуги по предоставлению информации(сервисные услуги сопровождения СЭД) с 05, 2020 использовать 163</t>
  </si>
  <si>
    <t>Информационная система Юрист VIP. ПАРАГРАФ (Эксперт,строймастер(сетевая версия))</t>
  </si>
  <si>
    <t>Услуги юридические и консультационные</t>
  </si>
  <si>
    <t>Услуги по мойке автотранспорта</t>
  </si>
  <si>
    <t>Аренда помещений</t>
  </si>
  <si>
    <t>Доступ к Информационной Системе Электронных Закупок</t>
  </si>
  <si>
    <t>Доставка счетов-фактур</t>
  </si>
  <si>
    <t>Полиграфические услуги</t>
  </si>
  <si>
    <t>Услуги по диагностированию, испытаниям, анализу, экспертизе</t>
  </si>
  <si>
    <t>Аренда междугородних аналоговых тел. каналов связи</t>
  </si>
  <si>
    <t>Оценка неликвидов, ТМЦ  , металлолома</t>
  </si>
  <si>
    <t>Аренда жилых помещений</t>
  </si>
  <si>
    <t>Услуги по организации /проведению концерта, мероприятий, форумов, культурных , семинаров</t>
  </si>
  <si>
    <t>Коммунальные расходы</t>
  </si>
  <si>
    <t>Абонентская плата абон. ящика</t>
  </si>
  <si>
    <t>Наклейки, таблички, вывески ,визитки,плакаты, картины, стенды, билборды изготовление и установка</t>
  </si>
  <si>
    <t>Проведение мониторинга состояния животного и растительного мира Шора-Караколь</t>
  </si>
  <si>
    <t>Услуги спецсвязи</t>
  </si>
  <si>
    <t>Работы НИ в области охраны окружающей среды</t>
  </si>
  <si>
    <t>Услуги по проведению аудита систем менеджмента</t>
  </si>
  <si>
    <t>Оценка ограничений электрической мощности электростанций</t>
  </si>
  <si>
    <t>Экспертиза титульных списков</t>
  </si>
  <si>
    <t>Экспертное заключение на соответствие требованиям промышленной безопасности</t>
  </si>
  <si>
    <t>Услуги по автоуслугам, встречи, доставка представителей</t>
  </si>
  <si>
    <t>Услуги по предоставлению информации (сервисные услуги сопровождения СЭД)</t>
  </si>
  <si>
    <t>Услуги актуариев</t>
  </si>
  <si>
    <t>Сентябрь 2019 г.</t>
  </si>
  <si>
    <t>26.02.20 15:31:36</t>
  </si>
  <si>
    <t xml:space="preserve">      Услуги госэнергоэкспертизы</t>
  </si>
  <si>
    <t>Декабрь 2019 г.</t>
  </si>
  <si>
    <t>26.02.20 15:32:55</t>
  </si>
  <si>
    <t>Энергоресурсы</t>
  </si>
  <si>
    <t>Товарная продукция за 2019 год</t>
  </si>
  <si>
    <t>с нераспределенными объемами</t>
  </si>
  <si>
    <t>Ед.изм.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</si>
  <si>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</si>
  <si>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</si>
  <si>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</si>
  <si>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</si>
  <si>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</si>
  <si>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</si>
  <si>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</si>
  <si>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</si>
  <si>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1 полугодие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</si>
  <si>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</si>
  <si>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</si>
  <si>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</si>
  <si>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</si>
  <si>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</si>
  <si>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</si>
  <si>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</si>
  <si>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</si>
  <si>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</si>
  <si>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2 полугодие</t>
  </si>
  <si>
    <t>кол-во</t>
  </si>
  <si>
    <t>среднеотп.тариф</t>
  </si>
  <si>
    <t>сумма</t>
  </si>
  <si>
    <t xml:space="preserve"> Электроэнергия</t>
  </si>
  <si>
    <t>кВтч</t>
  </si>
  <si>
    <t xml:space="preserve"> Теплоэнергия</t>
  </si>
  <si>
    <t>Гкал</t>
  </si>
  <si>
    <t xml:space="preserve"> Питьевая вода</t>
  </si>
  <si>
    <t>м³</t>
  </si>
  <si>
    <t xml:space="preserve"> Техническая вода</t>
  </si>
  <si>
    <t xml:space="preserve"> Дистиллят (ДОП)</t>
  </si>
  <si>
    <t xml:space="preserve"> Морская вода</t>
  </si>
  <si>
    <t>тыс.м³</t>
  </si>
  <si>
    <t>КГВ</t>
  </si>
  <si>
    <t xml:space="preserve"> Невозврат конденсата</t>
  </si>
  <si>
    <t xml:space="preserve"> Горячая вода</t>
  </si>
  <si>
    <t>Фактическая товарная продукция за 2019 год</t>
  </si>
  <si>
    <t>без нераспределенных объемов</t>
  </si>
  <si>
    <t>сумма (тенге)</t>
  </si>
  <si>
    <t>Нераспределенка</t>
  </si>
  <si>
    <t>в натуральном выражениии</t>
  </si>
  <si>
    <t>в стоимостном выражении, тыс.тенге</t>
  </si>
  <si>
    <t>2018 год</t>
  </si>
  <si>
    <t>2019 год</t>
  </si>
  <si>
    <t>отклонение</t>
  </si>
  <si>
    <t>Отчетный период за 2 полугодие 2019 года</t>
  </si>
  <si>
    <t>Отчетный период 2 полугодие 2019 года</t>
  </si>
  <si>
    <t>Отчет ТОО "МАЭК-Казатомпром"</t>
  </si>
  <si>
    <t>Фактически сложившиеся показатели тарифной сметы              за 2 полугодие 2019 год</t>
  </si>
  <si>
    <t>Отчетный период  за 2 полугодие 2019 года</t>
  </si>
  <si>
    <t>Отчет  ТОО "МАЭК-Казатомпром"                                                                                                                                                      об исполнении тарифной сметы на производство горячей воды</t>
  </si>
  <si>
    <t xml:space="preserve">об исполнении  тарифной  сметы  за 2 полугодие 2019г на  услуги  по  подаче  морской  воды  по  магистральным  трубопроводам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</si>
</sst>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#,##0.000"/>
    <numFmt numFmtId="165" formatCode="_([$€-2]* #,##0.00_);_([$€-2]* \(#,##0.00\);_([$€-2]* &quot;-&quot;??_)"/>
    <numFmt numFmtId="166" formatCode="0.0%"/>
    <numFmt numFmtId="167" formatCode="_-* #,##0_р_._-;\-* #,##0_р_._-;_-* &quot;-&quot;_р_._-;_-@_-"/>
    <numFmt numFmtId="168" formatCode="0.000%"/>
    <numFmt numFmtId="169" formatCode="#,##0.0"/>
    <numFmt numFmtId="170" formatCode="0&quot; год&quot;"/>
    <numFmt numFmtId="171" formatCode="0&quot;.&quot;"/>
    <numFmt numFmtId="172" formatCode="#,##0.00;[Red]\-#,##0.00"/>
    <numFmt numFmtId="173" formatCode="#,##0.00_ ;[Red]\-#,##0.00\ "/>
    <numFmt numFmtId="174" formatCode="0&quot;%&quot;"/>
    <numFmt numFmtId="175" formatCode="0.0&quot;%&quot;"/>
    <numFmt numFmtId="176" formatCode="0.00;[Red]\-0.00"/>
    <numFmt numFmtId="177" formatCode="0&quot; год &quot;"/>
    <numFmt numFmtId="178" formatCode="0;[Red]\-0"/>
    <numFmt numFmtId="179" formatCode="#,##0.0000"/>
    <numFmt numFmtId="180" formatCode="#,##0.00000000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1"/>
    </font>
    <font>
      <b/>
      <i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b/>
      <sz val="11"/>
      <color indexed="10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sz val="10"/>
      <color indexed="10"/>
      <name val="Arial"/>
      <family val="2"/>
      <charset val="1"/>
    </font>
    <font>
      <b/>
      <i/>
      <sz val="8"/>
      <name val="Arial"/>
      <family val="2"/>
      <charset val="1"/>
    </font>
    <font>
      <sz val="10"/>
      <color indexed="10"/>
      <name val="Arial"/>
      <family val="2"/>
      <charset val="1"/>
    </font>
    <font>
      <i/>
      <sz val="8"/>
      <name val="Arial"/>
      <family val="2"/>
      <charset val="1"/>
    </font>
    <font>
      <b/>
      <sz val="11"/>
      <name val="Arial"/>
      <family val="2"/>
      <charset val="1"/>
    </font>
    <font>
      <b/>
      <sz val="9"/>
      <name val="Arial"/>
      <family val="2"/>
      <charset val="1"/>
    </font>
    <font>
      <i/>
      <sz val="10"/>
      <name val="Arial"/>
      <family val="2"/>
      <charset val="1"/>
    </font>
    <font>
      <sz val="8"/>
      <color rgb="FFFF0000"/>
      <name val="Arial"/>
      <family val="2"/>
      <charset val="1"/>
    </font>
    <font>
      <b/>
      <sz val="8"/>
      <color rgb="FFFF0000"/>
      <name val="Arial"/>
      <family val="2"/>
      <charset val="1"/>
    </font>
    <font>
      <sz val="11"/>
      <color rgb="FF0000FF"/>
      <name val="Calibri"/>
      <family val="2"/>
      <scheme val="minor"/>
    </font>
    <font>
      <b/>
      <sz val="8"/>
      <color rgb="FF0000FF"/>
      <name val="Arial"/>
      <family val="2"/>
      <charset val="1"/>
    </font>
    <font>
      <i/>
      <sz val="8"/>
      <color rgb="FFFF0000"/>
      <name val="Arial"/>
      <family val="2"/>
      <charset val="1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165" fontId="7" fillId="0" borderId="0"/>
    <xf numFmtId="0" fontId="4" fillId="0" borderId="0"/>
    <xf numFmtId="0" fontId="5" fillId="0" borderId="0"/>
    <xf numFmtId="0" fontId="8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5" fontId="3" fillId="0" borderId="0"/>
    <xf numFmtId="0" fontId="11" fillId="0" borderId="0"/>
    <xf numFmtId="0" fontId="6" fillId="0" borderId="0"/>
    <xf numFmtId="0" fontId="2" fillId="0" borderId="0"/>
    <xf numFmtId="0" fontId="28" fillId="0" borderId="0"/>
    <xf numFmtId="0" fontId="6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  <xf numFmtId="0" fontId="49" fillId="0" borderId="0">
      <alignment horizontal="left"/>
    </xf>
    <xf numFmtId="0" fontId="50" fillId="0" borderId="0"/>
    <xf numFmtId="9" fontId="50" fillId="0" borderId="0" applyFont="0" applyFill="0" applyBorder="0" applyAlignment="0" applyProtection="0"/>
  </cellStyleXfs>
  <cellXfs count="498">
    <xf numFmtId="0" fontId="0" fillId="0" borderId="0" xfId="0"/>
    <xf numFmtId="0" fontId="12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3" applyFont="1" applyFill="1" applyAlignment="1">
      <alignment vertical="center" wrapText="1"/>
    </xf>
    <xf numFmtId="0" fontId="23" fillId="0" borderId="0" xfId="3" applyFont="1" applyFill="1" applyAlignment="1">
      <alignment horizontal="center" vertical="center" wrapText="1"/>
    </xf>
    <xf numFmtId="0" fontId="15" fillId="0" borderId="0" xfId="2" applyFont="1" applyFill="1" applyAlignment="1">
      <alignment vertical="center" wrapText="1"/>
    </xf>
    <xf numFmtId="0" fontId="15" fillId="0" borderId="0" xfId="13" applyFont="1" applyAlignment="1">
      <alignment horizontal="center" vertical="center" wrapText="1"/>
    </xf>
    <xf numFmtId="0" fontId="15" fillId="0" borderId="0" xfId="13" applyFont="1" applyAlignment="1">
      <alignment horizontal="left" vertical="center" wrapText="1"/>
    </xf>
    <xf numFmtId="0" fontId="15" fillId="0" borderId="0" xfId="13" applyFont="1" applyAlignment="1">
      <alignment vertical="center" wrapText="1"/>
    </xf>
    <xf numFmtId="0" fontId="18" fillId="0" borderId="0" xfId="13" applyFont="1" applyBorder="1" applyAlignment="1">
      <alignment vertical="center" wrapText="1"/>
    </xf>
    <xf numFmtId="0" fontId="18" fillId="0" borderId="0" xfId="13" applyFont="1" applyFill="1" applyBorder="1" applyAlignment="1">
      <alignment horizontal="center" vertical="center" wrapText="1"/>
    </xf>
    <xf numFmtId="3" fontId="18" fillId="0" borderId="1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3" fontId="15" fillId="0" borderId="1" xfId="13" applyNumberFormat="1" applyFont="1" applyFill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center" vertical="center" wrapText="1"/>
    </xf>
    <xf numFmtId="0" fontId="22" fillId="0" borderId="1" xfId="13" applyFont="1" applyFill="1" applyBorder="1" applyAlignment="1">
      <alignment horizontal="center" vertical="center" wrapText="1"/>
    </xf>
    <xf numFmtId="3" fontId="19" fillId="0" borderId="1" xfId="13" applyNumberFormat="1" applyFont="1" applyFill="1" applyBorder="1" applyAlignment="1">
      <alignment horizontal="center" vertical="center" wrapText="1"/>
    </xf>
    <xf numFmtId="0" fontId="19" fillId="0" borderId="0" xfId="13" applyFont="1" applyAlignment="1">
      <alignment vertical="center" wrapText="1"/>
    </xf>
    <xf numFmtId="3" fontId="18" fillId="0" borderId="1" xfId="13" applyNumberFormat="1" applyFont="1" applyFill="1" applyBorder="1" applyAlignment="1">
      <alignment horizontal="left" vertical="center" wrapText="1"/>
    </xf>
    <xf numFmtId="3" fontId="15" fillId="0" borderId="1" xfId="13" applyNumberFormat="1" applyFont="1" applyFill="1" applyBorder="1" applyAlignment="1">
      <alignment horizontal="left" vertical="center" wrapText="1"/>
    </xf>
    <xf numFmtId="4" fontId="18" fillId="0" borderId="1" xfId="13" applyNumberFormat="1" applyFont="1" applyFill="1" applyBorder="1" applyAlignment="1">
      <alignment horizontal="center" vertical="center" wrapText="1"/>
    </xf>
    <xf numFmtId="0" fontId="18" fillId="0" borderId="0" xfId="13" applyFont="1" applyBorder="1" applyAlignment="1">
      <alignment horizontal="center" vertical="center" wrapText="1"/>
    </xf>
    <xf numFmtId="0" fontId="15" fillId="0" borderId="2" xfId="13" applyFont="1" applyFill="1" applyBorder="1" applyAlignment="1">
      <alignment horizontal="center" vertical="center" wrapText="1"/>
    </xf>
    <xf numFmtId="0" fontId="15" fillId="0" borderId="5" xfId="1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8" fillId="0" borderId="1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15" fillId="0" borderId="1" xfId="15" applyFont="1" applyFill="1" applyBorder="1" applyAlignment="1">
      <alignment horizontal="left" vertical="center" wrapText="1"/>
    </xf>
    <xf numFmtId="0" fontId="18" fillId="0" borderId="1" xfId="13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164" fontId="18" fillId="0" borderId="1" xfId="13" applyNumberFormat="1" applyFont="1" applyFill="1" applyBorder="1" applyAlignment="1">
      <alignment horizontal="center" vertical="center" wrapText="1"/>
    </xf>
    <xf numFmtId="0" fontId="30" fillId="0" borderId="0" xfId="13" applyFont="1" applyAlignment="1">
      <alignment vertical="center" wrapText="1"/>
    </xf>
    <xf numFmtId="0" fontId="15" fillId="2" borderId="0" xfId="13" applyFont="1" applyFill="1" applyAlignment="1">
      <alignment horizontal="center" vertical="center" wrapText="1"/>
    </xf>
    <xf numFmtId="0" fontId="21" fillId="2" borderId="0" xfId="13" applyFont="1" applyFill="1" applyAlignment="1">
      <alignment horizontal="center" vertical="center" wrapText="1"/>
    </xf>
    <xf numFmtId="0" fontId="15" fillId="2" borderId="0" xfId="13" applyFont="1" applyFill="1" applyAlignment="1">
      <alignment horizontal="left" vertical="center" wrapText="1"/>
    </xf>
    <xf numFmtId="0" fontId="14" fillId="2" borderId="0" xfId="2" applyFont="1" applyFill="1" applyAlignment="1">
      <alignment horizontal="center" vertical="center" wrapText="1"/>
    </xf>
    <xf numFmtId="0" fontId="24" fillId="2" borderId="0" xfId="13" applyFont="1" applyFill="1" applyBorder="1" applyAlignment="1">
      <alignment horizontal="center" vertical="center" wrapText="1"/>
    </xf>
    <xf numFmtId="0" fontId="15" fillId="2" borderId="5" xfId="13" applyFont="1" applyFill="1" applyBorder="1" applyAlignment="1">
      <alignment horizontal="center" vertical="center" wrapText="1"/>
    </xf>
    <xf numFmtId="0" fontId="15" fillId="2" borderId="3" xfId="13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4" fontId="21" fillId="2" borderId="0" xfId="13" applyNumberFormat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21" fillId="2" borderId="0" xfId="13" applyFont="1" applyFill="1" applyBorder="1" applyAlignment="1">
      <alignment horizontal="center" vertical="center" wrapText="1"/>
    </xf>
    <xf numFmtId="3" fontId="19" fillId="0" borderId="1" xfId="14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vertical="center" wrapText="1"/>
    </xf>
    <xf numFmtId="3" fontId="15" fillId="0" borderId="0" xfId="13" applyNumberFormat="1" applyFont="1" applyFill="1" applyBorder="1" applyAlignment="1">
      <alignment horizontal="center" vertical="center" wrapText="1"/>
    </xf>
    <xf numFmtId="0" fontId="15" fillId="0" borderId="0" xfId="13" applyFont="1" applyFill="1" applyAlignment="1">
      <alignment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0" xfId="13" applyFont="1" applyAlignment="1">
      <alignment horizontal="center" vertical="center" wrapText="1"/>
    </xf>
    <xf numFmtId="9" fontId="15" fillId="0" borderId="1" xfId="12" applyFont="1" applyFill="1" applyBorder="1" applyAlignment="1">
      <alignment horizontal="center" vertical="center" wrapText="1"/>
    </xf>
    <xf numFmtId="3" fontId="18" fillId="0" borderId="0" xfId="13" applyNumberFormat="1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3" fontId="12" fillId="0" borderId="0" xfId="3" applyNumberFormat="1" applyFont="1" applyFill="1" applyAlignment="1">
      <alignment vertical="center" wrapText="1"/>
    </xf>
    <xf numFmtId="3" fontId="12" fillId="0" borderId="0" xfId="3" applyNumberFormat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29" fillId="0" borderId="0" xfId="1" applyFont="1" applyFill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5" applyNumberFormat="1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16" fontId="15" fillId="0" borderId="1" xfId="1" applyNumberFormat="1" applyFont="1" applyFill="1" applyBorder="1" applyAlignment="1">
      <alignment horizontal="center" vertical="center" wrapText="1"/>
    </xf>
    <xf numFmtId="0" fontId="19" fillId="0" borderId="1" xfId="13" applyFont="1" applyFill="1" applyBorder="1" applyAlignment="1">
      <alignment horizontal="left"/>
    </xf>
    <xf numFmtId="3" fontId="15" fillId="0" borderId="1" xfId="2" applyNumberFormat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vertical="center" wrapText="1"/>
    </xf>
    <xf numFmtId="0" fontId="22" fillId="0" borderId="0" xfId="2" applyFont="1" applyFill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vertical="center" wrapText="1"/>
    </xf>
    <xf numFmtId="0" fontId="18" fillId="0" borderId="2" xfId="4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164" fontId="18" fillId="0" borderId="1" xfId="1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8" fillId="0" borderId="0" xfId="2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8" fillId="0" borderId="1" xfId="12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16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9" fontId="19" fillId="0" borderId="1" xfId="12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7" fillId="0" borderId="0" xfId="0" applyFont="1"/>
    <xf numFmtId="0" fontId="27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/>
    <xf numFmtId="9" fontId="22" fillId="0" borderId="1" xfId="12" applyFont="1" applyFill="1" applyBorder="1" applyAlignment="1">
      <alignment horizontal="center" vertical="center" wrapText="1"/>
    </xf>
    <xf numFmtId="0" fontId="17" fillId="0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3" fontId="15" fillId="0" borderId="0" xfId="5" applyNumberFormat="1" applyFont="1" applyFill="1" applyAlignment="1">
      <alignment vertical="center" wrapText="1"/>
    </xf>
    <xf numFmtId="3" fontId="15" fillId="0" borderId="0" xfId="5" applyNumberFormat="1" applyFont="1" applyFill="1" applyAlignment="1">
      <alignment horizontal="center" vertical="center" wrapText="1"/>
    </xf>
    <xf numFmtId="3" fontId="18" fillId="0" borderId="1" xfId="5" applyNumberFormat="1" applyFont="1" applyFill="1" applyBorder="1" applyAlignment="1">
      <alignment horizontal="center" vertical="center" wrapText="1"/>
    </xf>
    <xf numFmtId="3" fontId="22" fillId="0" borderId="1" xfId="5" applyNumberFormat="1" applyFont="1" applyFill="1" applyBorder="1" applyAlignment="1">
      <alignment horizontal="center" vertical="center" wrapText="1"/>
    </xf>
    <xf numFmtId="3" fontId="22" fillId="0" borderId="0" xfId="5" applyNumberFormat="1" applyFont="1" applyFill="1" applyAlignment="1">
      <alignment vertical="center" wrapText="1"/>
    </xf>
    <xf numFmtId="9" fontId="15" fillId="0" borderId="1" xfId="6" applyFont="1" applyFill="1" applyBorder="1" applyAlignment="1">
      <alignment horizontal="center" vertical="center" wrapText="1"/>
    </xf>
    <xf numFmtId="9" fontId="22" fillId="0" borderId="1" xfId="6" applyFont="1" applyFill="1" applyBorder="1" applyAlignment="1">
      <alignment horizontal="center" vertical="center" wrapText="1"/>
    </xf>
    <xf numFmtId="16" fontId="19" fillId="0" borderId="1" xfId="1" applyNumberFormat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3" fontId="19" fillId="0" borderId="1" xfId="5" applyNumberFormat="1" applyFont="1" applyFill="1" applyBorder="1" applyAlignment="1">
      <alignment horizontal="center" vertical="center" wrapText="1"/>
    </xf>
    <xf numFmtId="3" fontId="19" fillId="0" borderId="0" xfId="5" applyNumberFormat="1" applyFont="1" applyFill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0" fontId="15" fillId="0" borderId="1" xfId="9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vertical="center" wrapText="1"/>
    </xf>
    <xf numFmtId="3" fontId="15" fillId="0" borderId="1" xfId="9" applyNumberFormat="1" applyFont="1" applyFill="1" applyBorder="1" applyAlignment="1">
      <alignment horizontal="left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3" fontId="18" fillId="0" borderId="1" xfId="24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left" vertical="center" wrapText="1"/>
    </xf>
    <xf numFmtId="3" fontId="19" fillId="0" borderId="1" xfId="24" applyNumberFormat="1" applyFont="1" applyFill="1" applyBorder="1" applyAlignment="1">
      <alignment horizontal="center" vertical="center" wrapText="1"/>
    </xf>
    <xf numFmtId="10" fontId="18" fillId="0" borderId="1" xfId="12" applyNumberFormat="1" applyFont="1" applyFill="1" applyBorder="1" applyAlignment="1">
      <alignment horizontal="center" vertical="center" wrapText="1"/>
    </xf>
    <xf numFmtId="4" fontId="15" fillId="0" borderId="0" xfId="5" applyNumberFormat="1" applyFont="1" applyFill="1" applyAlignment="1">
      <alignment vertical="center" wrapText="1"/>
    </xf>
    <xf numFmtId="168" fontId="15" fillId="0" borderId="0" xfId="6" applyNumberFormat="1" applyFont="1" applyFill="1" applyAlignment="1">
      <alignment vertical="center" wrapText="1"/>
    </xf>
    <xf numFmtId="166" fontId="15" fillId="0" borderId="0" xfId="6" applyNumberFormat="1" applyFont="1" applyFill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9" fontId="22" fillId="0" borderId="0" xfId="6" applyFont="1" applyFill="1" applyAlignment="1">
      <alignment horizontal="center" vertical="center" wrapText="1"/>
    </xf>
    <xf numFmtId="0" fontId="15" fillId="2" borderId="1" xfId="13" applyFont="1" applyFill="1" applyBorder="1" applyAlignment="1">
      <alignment horizontal="center" vertical="center" wrapText="1"/>
    </xf>
    <xf numFmtId="9" fontId="15" fillId="0" borderId="1" xfId="1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19" fillId="0" borderId="0" xfId="2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4" fontId="21" fillId="0" borderId="0" xfId="13" applyNumberFormat="1" applyFont="1" applyFill="1" applyAlignment="1">
      <alignment horizontal="center" vertical="center" wrapText="1"/>
    </xf>
    <xf numFmtId="0" fontId="21" fillId="0" borderId="0" xfId="13" applyFont="1" applyFill="1" applyAlignment="1">
      <alignment horizontal="center" vertical="center" wrapText="1"/>
    </xf>
    <xf numFmtId="0" fontId="15" fillId="0" borderId="0" xfId="13" applyFont="1" applyFill="1" applyAlignment="1">
      <alignment horizontal="center" vertical="center" wrapText="1"/>
    </xf>
    <xf numFmtId="4" fontId="15" fillId="0" borderId="0" xfId="13" applyNumberFormat="1" applyFont="1" applyAlignment="1">
      <alignment vertical="center" wrapText="1"/>
    </xf>
    <xf numFmtId="4" fontId="19" fillId="0" borderId="0" xfId="5" applyNumberFormat="1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3" fillId="0" borderId="0" xfId="0" applyNumberFormat="1" applyFont="1" applyAlignment="1">
      <alignment horizontal="centerContinuous"/>
    </xf>
    <xf numFmtId="0" fontId="0" fillId="0" borderId="0" xfId="0" applyAlignment="1">
      <alignment horizontal="left"/>
    </xf>
    <xf numFmtId="0" fontId="34" fillId="0" borderId="0" xfId="0" applyNumberFormat="1" applyFont="1" applyAlignment="1">
      <alignment horizontal="centerContinuous"/>
    </xf>
    <xf numFmtId="0" fontId="35" fillId="0" borderId="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35" fillId="0" borderId="1" xfId="0" applyNumberFormat="1" applyFont="1" applyBorder="1" applyAlignment="1">
      <alignment horizontal="center"/>
    </xf>
    <xf numFmtId="0" fontId="35" fillId="0" borderId="1" xfId="0" applyNumberFormat="1" applyFont="1" applyBorder="1" applyAlignment="1">
      <alignment horizontal="left" wrapText="1"/>
    </xf>
    <xf numFmtId="3" fontId="35" fillId="0" borderId="1" xfId="0" applyNumberFormat="1" applyFont="1" applyBorder="1" applyAlignment="1">
      <alignment horizontal="center"/>
    </xf>
    <xf numFmtId="3" fontId="0" fillId="0" borderId="0" xfId="0" applyNumberFormat="1"/>
    <xf numFmtId="170" fontId="31" fillId="0" borderId="3" xfId="0" applyNumberFormat="1" applyFont="1" applyBorder="1" applyAlignment="1">
      <alignment horizontal="centerContinuous" vertical="center"/>
    </xf>
    <xf numFmtId="0" fontId="34" fillId="0" borderId="6" xfId="0" applyNumberFormat="1" applyFont="1" applyBorder="1" applyAlignment="1">
      <alignment horizontal="centerContinuous"/>
    </xf>
    <xf numFmtId="0" fontId="37" fillId="0" borderId="1" xfId="0" applyNumberFormat="1" applyFont="1" applyBorder="1" applyAlignment="1">
      <alignment horizontal="center"/>
    </xf>
    <xf numFmtId="0" fontId="34" fillId="0" borderId="3" xfId="0" applyFont="1" applyBorder="1" applyAlignment="1">
      <alignment horizontal="left"/>
    </xf>
    <xf numFmtId="164" fontId="31" fillId="0" borderId="6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/>
    </xf>
    <xf numFmtId="4" fontId="0" fillId="0" borderId="0" xfId="0" applyNumberFormat="1"/>
    <xf numFmtId="0" fontId="34" fillId="0" borderId="3" xfId="0" applyNumberFormat="1" applyFont="1" applyBorder="1" applyAlignment="1">
      <alignment horizontal="centerContinuous"/>
    </xf>
    <xf numFmtId="3" fontId="0" fillId="2" borderId="1" xfId="0" applyNumberFormat="1" applyFont="1" applyFill="1" applyBorder="1" applyAlignment="1">
      <alignment horizontal="center"/>
    </xf>
    <xf numFmtId="0" fontId="34" fillId="0" borderId="1" xfId="0" applyNumberFormat="1" applyFont="1" applyBorder="1" applyAlignment="1">
      <alignment horizontal="center"/>
    </xf>
    <xf numFmtId="0" fontId="38" fillId="0" borderId="7" xfId="0" applyFont="1" applyBorder="1" applyAlignment="1">
      <alignment horizontal="left"/>
    </xf>
    <xf numFmtId="171" fontId="36" fillId="0" borderId="1" xfId="0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left" wrapText="1"/>
    </xf>
    <xf numFmtId="4" fontId="34" fillId="0" borderId="1" xfId="0" applyNumberFormat="1" applyFont="1" applyBorder="1" applyAlignment="1">
      <alignment horizontal="right"/>
    </xf>
    <xf numFmtId="4" fontId="34" fillId="2" borderId="1" xfId="0" applyNumberFormat="1" applyFont="1" applyFill="1" applyBorder="1" applyAlignment="1">
      <alignment horizontal="right"/>
    </xf>
    <xf numFmtId="2" fontId="34" fillId="0" borderId="1" xfId="0" applyNumberFormat="1" applyFont="1" applyBorder="1" applyAlignment="1">
      <alignment horizontal="right"/>
    </xf>
    <xf numFmtId="0" fontId="34" fillId="0" borderId="1" xfId="0" applyNumberFormat="1" applyFont="1" applyBorder="1" applyAlignment="1">
      <alignment horizontal="right"/>
    </xf>
    <xf numFmtId="0" fontId="39" fillId="0" borderId="1" xfId="0" applyNumberFormat="1" applyFont="1" applyBorder="1" applyAlignment="1">
      <alignment horizontal="left" wrapText="1"/>
    </xf>
    <xf numFmtId="171" fontId="36" fillId="0" borderId="1" xfId="0" applyNumberFormat="1" applyFont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left" wrapText="1"/>
    </xf>
    <xf numFmtId="4" fontId="31" fillId="0" borderId="1" xfId="0" applyNumberFormat="1" applyFont="1" applyBorder="1" applyAlignment="1">
      <alignment horizontal="right"/>
    </xf>
    <xf numFmtId="0" fontId="36" fillId="0" borderId="7" xfId="0" applyNumberFormat="1" applyFont="1" applyBorder="1" applyAlignment="1">
      <alignment horizontal="center" vertical="center"/>
    </xf>
    <xf numFmtId="0" fontId="34" fillId="0" borderId="8" xfId="0" applyNumberFormat="1" applyFont="1" applyBorder="1" applyAlignment="1">
      <alignment horizontal="right"/>
    </xf>
    <xf numFmtId="1" fontId="36" fillId="0" borderId="1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40" fillId="0" borderId="0" xfId="0" applyNumberFormat="1" applyFont="1" applyAlignment="1">
      <alignment horizontal="centerContinuous"/>
    </xf>
    <xf numFmtId="0" fontId="0" fillId="0" borderId="0" xfId="0" applyBorder="1"/>
    <xf numFmtId="0" fontId="41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/>
    </xf>
    <xf numFmtId="0" fontId="41" fillId="0" borderId="9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left" wrapText="1"/>
    </xf>
    <xf numFmtId="1" fontId="31" fillId="0" borderId="11" xfId="0" applyNumberFormat="1" applyFont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0" fontId="34" fillId="0" borderId="11" xfId="0" applyNumberFormat="1" applyFont="1" applyBorder="1" applyAlignment="1">
      <alignment horizontal="left" wrapText="1"/>
    </xf>
    <xf numFmtId="4" fontId="0" fillId="0" borderId="12" xfId="0" applyNumberFormat="1" applyFont="1" applyBorder="1" applyAlignment="1">
      <alignment horizontal="right"/>
    </xf>
    <xf numFmtId="0" fontId="39" fillId="0" borderId="1" xfId="0" applyNumberFormat="1" applyFont="1" applyBorder="1" applyAlignment="1">
      <alignment horizontal="center"/>
    </xf>
    <xf numFmtId="1" fontId="0" fillId="0" borderId="0" xfId="0" applyNumberFormat="1"/>
    <xf numFmtId="0" fontId="31" fillId="0" borderId="0" xfId="0" applyNumberFormat="1" applyFont="1" applyBorder="1" applyAlignment="1">
      <alignment horizontal="left" wrapText="1"/>
    </xf>
    <xf numFmtId="0" fontId="42" fillId="0" borderId="0" xfId="0" applyNumberFormat="1" applyFont="1" applyBorder="1" applyAlignment="1">
      <alignment horizontal="left" wrapText="1"/>
    </xf>
    <xf numFmtId="0" fontId="31" fillId="0" borderId="11" xfId="0" applyNumberFormat="1" applyFont="1" applyBorder="1" applyAlignment="1">
      <alignment horizontal="left" wrapText="1"/>
    </xf>
    <xf numFmtId="4" fontId="35" fillId="0" borderId="12" xfId="0" applyNumberFormat="1" applyFont="1" applyBorder="1" applyAlignment="1">
      <alignment horizontal="right"/>
    </xf>
    <xf numFmtId="0" fontId="42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 vertical="top" wrapText="1"/>
    </xf>
    <xf numFmtId="3" fontId="35" fillId="0" borderId="1" xfId="0" applyNumberFormat="1" applyFont="1" applyBorder="1" applyAlignment="1">
      <alignment horizontal="center" wrapText="1"/>
    </xf>
    <xf numFmtId="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3" fontId="0" fillId="0" borderId="1" xfId="0" applyNumberFormat="1" applyFont="1" applyBorder="1" applyAlignment="1">
      <alignment horizontal="center" wrapText="1"/>
    </xf>
    <xf numFmtId="0" fontId="39" fillId="0" borderId="0" xfId="0" applyNumberFormat="1" applyFont="1" applyBorder="1" applyAlignment="1">
      <alignment horizontal="left" wrapText="1"/>
    </xf>
    <xf numFmtId="0" fontId="39" fillId="0" borderId="11" xfId="0" applyNumberFormat="1" applyFont="1" applyBorder="1" applyAlignment="1">
      <alignment horizontal="left" wrapText="1"/>
    </xf>
    <xf numFmtId="4" fontId="39" fillId="0" borderId="12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 wrapText="1"/>
    </xf>
    <xf numFmtId="0" fontId="31" fillId="3" borderId="0" xfId="0" applyNumberFormat="1" applyFont="1" applyFill="1" applyBorder="1" applyAlignment="1">
      <alignment horizontal="left" wrapText="1"/>
    </xf>
    <xf numFmtId="0" fontId="31" fillId="3" borderId="14" xfId="0" applyNumberFormat="1" applyFont="1" applyFill="1" applyBorder="1" applyAlignment="1">
      <alignment horizontal="left" wrapText="1"/>
    </xf>
    <xf numFmtId="4" fontId="41" fillId="3" borderId="15" xfId="0" applyNumberFormat="1" applyFont="1" applyFill="1" applyBorder="1" applyAlignment="1">
      <alignment horizontal="right"/>
    </xf>
    <xf numFmtId="0" fontId="35" fillId="0" borderId="1" xfId="0" applyNumberFormat="1" applyFont="1" applyBorder="1" applyAlignment="1">
      <alignment horizontal="center" wrapText="1"/>
    </xf>
    <xf numFmtId="0" fontId="41" fillId="0" borderId="8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 vertical="top" wrapText="1"/>
    </xf>
    <xf numFmtId="172" fontId="0" fillId="0" borderId="1" xfId="0" applyNumberFormat="1" applyFont="1" applyBorder="1" applyAlignment="1">
      <alignment horizontal="right" vertical="top" wrapText="1"/>
    </xf>
    <xf numFmtId="172" fontId="0" fillId="0" borderId="0" xfId="0" applyNumberFormat="1"/>
    <xf numFmtId="0" fontId="41" fillId="0" borderId="1" xfId="0" applyNumberFormat="1" applyFont="1" applyBorder="1" applyAlignment="1">
      <alignment horizontal="left" vertical="top"/>
    </xf>
    <xf numFmtId="0" fontId="35" fillId="0" borderId="1" xfId="0" applyNumberFormat="1" applyFont="1" applyBorder="1" applyAlignment="1">
      <alignment horizontal="right" vertical="top" wrapText="1"/>
    </xf>
    <xf numFmtId="173" fontId="0" fillId="0" borderId="0" xfId="0" applyNumberFormat="1"/>
    <xf numFmtId="170" fontId="0" fillId="0" borderId="1" xfId="0" applyNumberFormat="1" applyFont="1" applyBorder="1" applyAlignment="1">
      <alignment horizontal="center" wrapText="1"/>
    </xf>
    <xf numFmtId="3" fontId="35" fillId="0" borderId="1" xfId="0" applyNumberFormat="1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28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left" wrapText="1"/>
    </xf>
    <xf numFmtId="3" fontId="28" fillId="0" borderId="1" xfId="0" applyNumberFormat="1" applyFont="1" applyBorder="1" applyAlignment="1">
      <alignment horizontal="center" vertical="center" wrapText="1"/>
    </xf>
    <xf numFmtId="0" fontId="35" fillId="0" borderId="0" xfId="0" applyNumberFormat="1" applyFont="1" applyAlignment="1">
      <alignment horizontal="center"/>
    </xf>
    <xf numFmtId="174" fontId="35" fillId="0" borderId="1" xfId="0" applyNumberFormat="1" applyFont="1" applyBorder="1" applyAlignment="1">
      <alignment horizontal="center"/>
    </xf>
    <xf numFmtId="175" fontId="35" fillId="0" borderId="1" xfId="0" applyNumberFormat="1" applyFont="1" applyBorder="1" applyAlignment="1">
      <alignment horizontal="center"/>
    </xf>
    <xf numFmtId="171" fontId="35" fillId="0" borderId="1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0" fontId="39" fillId="0" borderId="1" xfId="0" applyNumberFormat="1" applyFont="1" applyBorder="1" applyAlignment="1">
      <alignment horizontal="left"/>
    </xf>
    <xf numFmtId="3" fontId="39" fillId="0" borderId="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2" fontId="0" fillId="0" borderId="0" xfId="0" applyNumberFormat="1"/>
    <xf numFmtId="0" fontId="41" fillId="0" borderId="16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right"/>
    </xf>
    <xf numFmtId="0" fontId="41" fillId="0" borderId="17" xfId="0" applyNumberFormat="1" applyFont="1" applyBorder="1" applyAlignment="1">
      <alignment horizontal="center"/>
    </xf>
    <xf numFmtId="0" fontId="41" fillId="0" borderId="18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left" vertical="top" wrapText="1"/>
    </xf>
    <xf numFmtId="2" fontId="39" fillId="0" borderId="1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 vertical="top" wrapText="1"/>
    </xf>
    <xf numFmtId="0" fontId="41" fillId="0" borderId="20" xfId="0" applyNumberFormat="1" applyFont="1" applyBorder="1" applyAlignment="1">
      <alignment horizontal="left" vertical="top"/>
    </xf>
    <xf numFmtId="0" fontId="35" fillId="0" borderId="21" xfId="0" applyNumberFormat="1" applyFont="1" applyBorder="1" applyAlignment="1">
      <alignment horizontal="right" vertical="top" wrapText="1"/>
    </xf>
    <xf numFmtId="1" fontId="43" fillId="0" borderId="1" xfId="0" applyNumberFormat="1" applyFont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4" fontId="0" fillId="6" borderId="1" xfId="0" applyNumberFormat="1" applyFont="1" applyFill="1" applyBorder="1" applyAlignment="1">
      <alignment horizontal="right"/>
    </xf>
    <xf numFmtId="4" fontId="43" fillId="0" borderId="12" xfId="0" applyNumberFormat="1" applyFont="1" applyBorder="1" applyAlignment="1">
      <alignment horizontal="right"/>
    </xf>
    <xf numFmtId="0" fontId="33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170" fontId="31" fillId="0" borderId="3" xfId="0" applyNumberFormat="1" applyFont="1" applyBorder="1" applyAlignment="1">
      <alignment horizontal="center" vertical="center"/>
    </xf>
    <xf numFmtId="0" fontId="34" fillId="0" borderId="6" xfId="0" applyNumberFormat="1" applyFont="1" applyBorder="1" applyAlignment="1">
      <alignment horizontal="center"/>
    </xf>
    <xf numFmtId="0" fontId="34" fillId="0" borderId="3" xfId="0" applyNumberFormat="1" applyFont="1" applyBorder="1" applyAlignment="1">
      <alignment horizontal="center"/>
    </xf>
    <xf numFmtId="1" fontId="35" fillId="0" borderId="1" xfId="0" applyNumberFormat="1" applyFont="1" applyBorder="1" applyAlignment="1">
      <alignment horizontal="left"/>
    </xf>
    <xf numFmtId="1" fontId="35" fillId="0" borderId="0" xfId="0" applyNumberFormat="1" applyFont="1" applyAlignment="1">
      <alignment horizontal="left"/>
    </xf>
    <xf numFmtId="2" fontId="31" fillId="0" borderId="1" xfId="0" applyNumberFormat="1" applyFont="1" applyBorder="1" applyAlignment="1">
      <alignment horizontal="right"/>
    </xf>
    <xf numFmtId="0" fontId="31" fillId="0" borderId="1" xfId="0" applyNumberFormat="1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35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39" fillId="0" borderId="1" xfId="0" applyNumberFormat="1" applyFont="1" applyBorder="1" applyAlignment="1">
      <alignment horizontal="right"/>
    </xf>
    <xf numFmtId="4" fontId="39" fillId="0" borderId="1" xfId="0" applyNumberFormat="1" applyFont="1" applyBorder="1" applyAlignment="1">
      <alignment horizontal="right"/>
    </xf>
    <xf numFmtId="4" fontId="41" fillId="3" borderId="1" xfId="0" applyNumberFormat="1" applyFont="1" applyFill="1" applyBorder="1" applyAlignment="1">
      <alignment horizontal="right"/>
    </xf>
    <xf numFmtId="1" fontId="35" fillId="0" borderId="1" xfId="0" applyNumberFormat="1" applyFont="1" applyBorder="1" applyAlignment="1">
      <alignment horizontal="center"/>
    </xf>
    <xf numFmtId="177" fontId="35" fillId="0" borderId="1" xfId="0" applyNumberFormat="1" applyFont="1" applyBorder="1" applyAlignment="1">
      <alignment horizontal="center" vertical="center" wrapText="1"/>
    </xf>
    <xf numFmtId="1" fontId="35" fillId="0" borderId="1" xfId="0" applyNumberFormat="1" applyFont="1" applyBorder="1" applyAlignment="1">
      <alignment horizontal="left" wrapText="1"/>
    </xf>
    <xf numFmtId="3" fontId="43" fillId="0" borderId="1" xfId="0" applyNumberFormat="1" applyFont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/>
    </xf>
    <xf numFmtId="0" fontId="35" fillId="0" borderId="1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" fontId="35" fillId="0" borderId="1" xfId="0" applyNumberFormat="1" applyFont="1" applyBorder="1" applyAlignment="1">
      <alignment horizontal="center" vertical="center"/>
    </xf>
    <xf numFmtId="1" fontId="45" fillId="0" borderId="1" xfId="0" applyNumberFormat="1" applyFont="1" applyBorder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35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41" fillId="0" borderId="1" xfId="0" applyNumberFormat="1" applyFont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/>
    </xf>
    <xf numFmtId="173" fontId="0" fillId="5" borderId="0" xfId="0" applyNumberFormat="1" applyFill="1"/>
    <xf numFmtId="0" fontId="42" fillId="0" borderId="1" xfId="0" applyNumberFormat="1" applyFont="1" applyBorder="1" applyAlignment="1">
      <alignment horizontal="left" wrapText="1"/>
    </xf>
    <xf numFmtId="172" fontId="0" fillId="5" borderId="0" xfId="0" applyNumberFormat="1" applyFill="1"/>
    <xf numFmtId="4" fontId="47" fillId="0" borderId="1" xfId="0" applyNumberFormat="1" applyFont="1" applyBorder="1" applyAlignment="1">
      <alignment horizontal="right"/>
    </xf>
    <xf numFmtId="4" fontId="47" fillId="2" borderId="1" xfId="0" applyNumberFormat="1" applyFont="1" applyFill="1" applyBorder="1" applyAlignment="1">
      <alignment horizontal="right"/>
    </xf>
    <xf numFmtId="0" fontId="31" fillId="3" borderId="1" xfId="0" applyNumberFormat="1" applyFont="1" applyFill="1" applyBorder="1" applyAlignment="1">
      <alignment horizontal="left" wrapText="1"/>
    </xf>
    <xf numFmtId="0" fontId="41" fillId="0" borderId="0" xfId="0" applyNumberFormat="1" applyFont="1" applyAlignment="1">
      <alignment horizontal="left"/>
    </xf>
    <xf numFmtId="0" fontId="40" fillId="0" borderId="0" xfId="0" applyNumberFormat="1" applyFont="1" applyAlignment="1">
      <alignment horizontal="centerContinuous" wrapText="1"/>
    </xf>
    <xf numFmtId="0" fontId="41" fillId="0" borderId="0" xfId="0" applyNumberFormat="1" applyFont="1" applyAlignment="1">
      <alignment horizontal="centerContinuous" wrapText="1"/>
    </xf>
    <xf numFmtId="0" fontId="32" fillId="0" borderId="16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0" fontId="41" fillId="0" borderId="14" xfId="0" applyNumberFormat="1" applyFont="1" applyBorder="1" applyAlignment="1">
      <alignment horizontal="left" vertical="top" wrapText="1"/>
    </xf>
    <xf numFmtId="0" fontId="28" fillId="0" borderId="28" xfId="0" applyNumberFormat="1" applyFont="1" applyBorder="1" applyAlignment="1">
      <alignment horizontal="right" vertical="top"/>
    </xf>
    <xf numFmtId="0" fontId="28" fillId="0" borderId="29" xfId="0" applyNumberFormat="1" applyFont="1" applyBorder="1" applyAlignment="1">
      <alignment horizontal="right" vertical="top"/>
    </xf>
    <xf numFmtId="178" fontId="32" fillId="0" borderId="1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right" vertical="top"/>
    </xf>
    <xf numFmtId="172" fontId="0" fillId="0" borderId="12" xfId="0" applyNumberFormat="1" applyFont="1" applyBorder="1" applyAlignment="1">
      <alignment horizontal="right" vertical="top"/>
    </xf>
    <xf numFmtId="0" fontId="32" fillId="0" borderId="11" xfId="0" applyNumberFormat="1" applyFont="1" applyBorder="1" applyAlignment="1">
      <alignment horizontal="left" vertical="top" wrapText="1"/>
    </xf>
    <xf numFmtId="176" fontId="0" fillId="0" borderId="12" xfId="0" applyNumberFormat="1" applyFont="1" applyBorder="1" applyAlignment="1">
      <alignment horizontal="right" vertical="top"/>
    </xf>
    <xf numFmtId="172" fontId="0" fillId="0" borderId="1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41" fillId="0" borderId="20" xfId="0" applyNumberFormat="1" applyFont="1" applyBorder="1" applyAlignment="1">
      <alignment horizontal="left" vertical="top" wrapText="1"/>
    </xf>
    <xf numFmtId="172" fontId="28" fillId="0" borderId="21" xfId="0" applyNumberFormat="1" applyFont="1" applyBorder="1" applyAlignment="1">
      <alignment horizontal="right" vertical="top"/>
    </xf>
    <xf numFmtId="172" fontId="28" fillId="0" borderId="30" xfId="0" applyNumberFormat="1" applyFont="1" applyBorder="1" applyAlignment="1">
      <alignment horizontal="right" vertical="top"/>
    </xf>
    <xf numFmtId="0" fontId="41" fillId="0" borderId="17" xfId="0" applyNumberFormat="1" applyFont="1" applyBorder="1" applyAlignment="1">
      <alignment horizontal="left" vertical="top" wrapText="1"/>
    </xf>
    <xf numFmtId="0" fontId="28" fillId="0" borderId="18" xfId="0" applyNumberFormat="1" applyFont="1" applyBorder="1" applyAlignment="1">
      <alignment horizontal="right" vertical="top"/>
    </xf>
    <xf numFmtId="0" fontId="28" fillId="0" borderId="31" xfId="0" applyNumberFormat="1" applyFont="1" applyBorder="1" applyAlignment="1">
      <alignment horizontal="right" vertical="top"/>
    </xf>
    <xf numFmtId="0" fontId="41" fillId="0" borderId="20" xfId="0" applyNumberFormat="1" applyFont="1" applyBorder="1" applyAlignment="1">
      <alignment horizontal="center" vertical="center" wrapText="1"/>
    </xf>
    <xf numFmtId="0" fontId="48" fillId="0" borderId="30" xfId="0" applyFont="1" applyBorder="1"/>
    <xf numFmtId="0" fontId="0" fillId="0" borderId="31" xfId="0" applyBorder="1"/>
    <xf numFmtId="0" fontId="0" fillId="0" borderId="32" xfId="0" applyNumberFormat="1" applyFont="1" applyBorder="1" applyAlignment="1">
      <alignment horizontal="left" vertical="top" wrapText="1"/>
    </xf>
    <xf numFmtId="172" fontId="0" fillId="0" borderId="8" xfId="0" applyNumberFormat="1" applyFont="1" applyBorder="1" applyAlignment="1">
      <alignment horizontal="right" vertical="top" wrapText="1"/>
    </xf>
    <xf numFmtId="172" fontId="0" fillId="5" borderId="13" xfId="0" applyNumberFormat="1" applyFont="1" applyFill="1" applyBorder="1" applyAlignment="1">
      <alignment horizontal="right" vertical="top" wrapText="1"/>
    </xf>
    <xf numFmtId="172" fontId="0" fillId="2" borderId="13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41" fillId="0" borderId="2" xfId="0" applyNumberFormat="1" applyFont="1" applyBorder="1" applyAlignment="1">
      <alignment horizontal="center" vertical="center"/>
    </xf>
    <xf numFmtId="4" fontId="0" fillId="5" borderId="0" xfId="0" applyNumberFormat="1" applyFill="1" applyAlignment="1">
      <alignment horizontal="left"/>
    </xf>
    <xf numFmtId="2" fontId="35" fillId="0" borderId="1" xfId="0" applyNumberFormat="1" applyFont="1" applyBorder="1" applyAlignment="1">
      <alignment horizontal="right"/>
    </xf>
    <xf numFmtId="0" fontId="34" fillId="5" borderId="1" xfId="0" applyNumberFormat="1" applyFont="1" applyFill="1" applyBorder="1" applyAlignment="1">
      <alignment horizontal="left" wrapText="1"/>
    </xf>
    <xf numFmtId="4" fontId="0" fillId="5" borderId="1" xfId="0" applyNumberFormat="1" applyFont="1" applyFill="1" applyBorder="1" applyAlignment="1">
      <alignment horizontal="right"/>
    </xf>
    <xf numFmtId="4" fontId="0" fillId="9" borderId="0" xfId="0" applyNumberFormat="1" applyFill="1"/>
    <xf numFmtId="0" fontId="10" fillId="0" borderId="0" xfId="26" applyFont="1" applyFill="1"/>
    <xf numFmtId="164" fontId="12" fillId="0" borderId="0" xfId="26" applyNumberFormat="1" applyFont="1" applyFill="1"/>
    <xf numFmtId="4" fontId="12" fillId="0" borderId="0" xfId="26" applyNumberFormat="1" applyFont="1" applyFill="1" applyAlignment="1">
      <alignment horizontal="center" vertical="center"/>
    </xf>
    <xf numFmtId="9" fontId="12" fillId="0" borderId="0" xfId="27" applyFont="1" applyFill="1" applyAlignment="1">
      <alignment horizontal="center" vertical="center"/>
    </xf>
    <xf numFmtId="0" fontId="51" fillId="0" borderId="0" xfId="26" applyFont="1" applyFill="1"/>
    <xf numFmtId="9" fontId="12" fillId="0" borderId="0" xfId="27" applyFont="1" applyFill="1"/>
    <xf numFmtId="3" fontId="12" fillId="0" borderId="0" xfId="26" applyNumberFormat="1" applyFont="1" applyFill="1"/>
    <xf numFmtId="166" fontId="12" fillId="0" borderId="0" xfId="27" applyNumberFormat="1" applyFont="1" applyFill="1"/>
    <xf numFmtId="169" fontId="52" fillId="0" borderId="0" xfId="26" applyNumberFormat="1" applyFont="1" applyFill="1"/>
    <xf numFmtId="169" fontId="51" fillId="0" borderId="0" xfId="26" applyNumberFormat="1" applyFont="1" applyFill="1"/>
    <xf numFmtId="9" fontId="51" fillId="0" borderId="0" xfId="27" applyFont="1" applyFill="1"/>
    <xf numFmtId="4" fontId="10" fillId="0" borderId="0" xfId="26" applyNumberFormat="1" applyFont="1" applyFill="1"/>
    <xf numFmtId="0" fontId="53" fillId="0" borderId="0" xfId="26" applyFont="1" applyFill="1"/>
    <xf numFmtId="4" fontId="53" fillId="0" borderId="0" xfId="26" applyNumberFormat="1" applyFont="1" applyFill="1"/>
    <xf numFmtId="4" fontId="52" fillId="0" borderId="0" xfId="26" applyNumberFormat="1" applyFont="1" applyFill="1" applyAlignment="1">
      <alignment horizontal="center" vertical="center"/>
    </xf>
    <xf numFmtId="164" fontId="10" fillId="0" borderId="0" xfId="26" applyNumberFormat="1" applyFont="1" applyFill="1"/>
    <xf numFmtId="164" fontId="12" fillId="0" borderId="0" xfId="26" applyNumberFormat="1" applyFont="1" applyFill="1" applyAlignment="1">
      <alignment horizontal="center"/>
    </xf>
    <xf numFmtId="164" fontId="12" fillId="0" borderId="0" xfId="26" applyNumberFormat="1" applyFont="1" applyFill="1" applyAlignment="1">
      <alignment horizontal="center" vertical="center"/>
    </xf>
    <xf numFmtId="164" fontId="52" fillId="0" borderId="0" xfId="26" applyNumberFormat="1" applyFont="1" applyFill="1" applyAlignment="1">
      <alignment horizontal="center" vertical="center"/>
    </xf>
    <xf numFmtId="164" fontId="52" fillId="0" borderId="1" xfId="26" applyNumberFormat="1" applyFont="1" applyFill="1" applyBorder="1" applyAlignment="1">
      <alignment horizontal="center" vertical="center" wrapText="1"/>
    </xf>
    <xf numFmtId="164" fontId="52" fillId="0" borderId="1" xfId="26" applyNumberFormat="1" applyFont="1" applyFill="1" applyBorder="1" applyAlignment="1">
      <alignment horizontal="center" vertical="center"/>
    </xf>
    <xf numFmtId="169" fontId="52" fillId="0" borderId="1" xfId="26" applyNumberFormat="1" applyFont="1" applyFill="1" applyBorder="1" applyAlignment="1">
      <alignment horizontal="center" vertical="center"/>
    </xf>
    <xf numFmtId="164" fontId="52" fillId="0" borderId="1" xfId="26" applyNumberFormat="1" applyFont="1" applyFill="1" applyBorder="1" applyAlignment="1">
      <alignment horizontal="center"/>
    </xf>
    <xf numFmtId="4" fontId="52" fillId="0" borderId="1" xfId="26" applyNumberFormat="1" applyFont="1" applyFill="1" applyBorder="1" applyAlignment="1">
      <alignment horizontal="right" vertical="center" wrapText="1"/>
    </xf>
    <xf numFmtId="164" fontId="52" fillId="0" borderId="0" xfId="26" applyNumberFormat="1" applyFont="1" applyFill="1"/>
    <xf numFmtId="164" fontId="52" fillId="0" borderId="1" xfId="26" applyNumberFormat="1" applyFont="1" applyFill="1" applyBorder="1" applyAlignment="1"/>
    <xf numFmtId="169" fontId="12" fillId="0" borderId="1" xfId="26" applyNumberFormat="1" applyFont="1" applyFill="1" applyBorder="1" applyAlignment="1">
      <alignment horizontal="right" vertical="center"/>
    </xf>
    <xf numFmtId="179" fontId="12" fillId="0" borderId="1" xfId="26" applyNumberFormat="1" applyFont="1" applyFill="1" applyBorder="1" applyAlignment="1">
      <alignment horizontal="center" vertical="center" wrapText="1"/>
    </xf>
    <xf numFmtId="4" fontId="12" fillId="0" borderId="1" xfId="26" applyNumberFormat="1" applyFont="1" applyFill="1" applyBorder="1" applyAlignment="1">
      <alignment horizontal="right" vertical="center" wrapText="1"/>
    </xf>
    <xf numFmtId="4" fontId="12" fillId="0" borderId="0" xfId="26" applyNumberFormat="1" applyFont="1" applyFill="1"/>
    <xf numFmtId="164" fontId="52" fillId="0" borderId="1" xfId="26" applyNumberFormat="1" applyFont="1" applyFill="1" applyBorder="1"/>
    <xf numFmtId="169" fontId="52" fillId="0" borderId="1" xfId="26" applyNumberFormat="1" applyFont="1" applyFill="1" applyBorder="1" applyAlignment="1">
      <alignment horizontal="right" vertical="center"/>
    </xf>
    <xf numFmtId="179" fontId="52" fillId="0" borderId="1" xfId="26" applyNumberFormat="1" applyFont="1" applyFill="1" applyBorder="1" applyAlignment="1">
      <alignment horizontal="center" vertical="center" wrapText="1"/>
    </xf>
    <xf numFmtId="164" fontId="52" fillId="0" borderId="1" xfId="26" applyNumberFormat="1" applyFont="1" applyFill="1" applyBorder="1" applyAlignment="1">
      <alignment horizontal="left" vertical="center" wrapText="1"/>
    </xf>
    <xf numFmtId="169" fontId="54" fillId="0" borderId="1" xfId="26" applyNumberFormat="1" applyFont="1" applyFill="1" applyBorder="1" applyAlignment="1">
      <alignment horizontal="right" vertical="center"/>
    </xf>
    <xf numFmtId="179" fontId="54" fillId="0" borderId="1" xfId="26" applyNumberFormat="1" applyFont="1" applyFill="1" applyBorder="1" applyAlignment="1">
      <alignment horizontal="center" vertical="center" wrapText="1"/>
    </xf>
    <xf numFmtId="4" fontId="54" fillId="0" borderId="1" xfId="26" applyNumberFormat="1" applyFont="1" applyFill="1" applyBorder="1" applyAlignment="1">
      <alignment horizontal="right" vertical="center" wrapText="1"/>
    </xf>
    <xf numFmtId="164" fontId="12" fillId="0" borderId="0" xfId="26" applyNumberFormat="1" applyFont="1" applyFill="1" applyBorder="1" applyAlignment="1"/>
    <xf numFmtId="169" fontId="12" fillId="0" borderId="0" xfId="26" applyNumberFormat="1" applyFont="1" applyFill="1" applyBorder="1" applyAlignment="1"/>
    <xf numFmtId="164" fontId="55" fillId="0" borderId="0" xfId="26" applyNumberFormat="1" applyFont="1" applyFill="1" applyBorder="1" applyAlignment="1"/>
    <xf numFmtId="4" fontId="12" fillId="0" borderId="0" xfId="26" applyNumberFormat="1" applyFont="1" applyFill="1" applyBorder="1" applyAlignment="1"/>
    <xf numFmtId="164" fontId="10" fillId="0" borderId="0" xfId="26" applyNumberFormat="1" applyFont="1" applyFill="1" applyBorder="1" applyAlignment="1">
      <alignment horizontal="left" vertical="center"/>
    </xf>
    <xf numFmtId="3" fontId="12" fillId="0" borderId="0" xfId="26" applyNumberFormat="1" applyFont="1" applyFill="1" applyBorder="1" applyAlignment="1"/>
    <xf numFmtId="164" fontId="52" fillId="0" borderId="0" xfId="26" applyNumberFormat="1" applyFont="1" applyFill="1" applyBorder="1" applyAlignment="1"/>
    <xf numFmtId="164" fontId="12" fillId="0" borderId="0" xfId="26" applyNumberFormat="1" applyFont="1" applyFill="1" applyBorder="1" applyAlignment="1">
      <alignment horizontal="center"/>
    </xf>
    <xf numFmtId="164" fontId="54" fillId="0" borderId="0" xfId="26" applyNumberFormat="1" applyFont="1" applyFill="1" applyBorder="1" applyAlignment="1"/>
    <xf numFmtId="9" fontId="12" fillId="0" borderId="0" xfId="27" applyFont="1" applyFill="1" applyBorder="1" applyAlignment="1">
      <alignment horizontal="center"/>
    </xf>
    <xf numFmtId="176" fontId="54" fillId="0" borderId="34" xfId="25" applyNumberFormat="1" applyFont="1" applyFill="1" applyBorder="1" applyAlignment="1">
      <alignment horizontal="right" vertical="top" wrapText="1"/>
    </xf>
    <xf numFmtId="3" fontId="52" fillId="0" borderId="0" xfId="26" applyNumberFormat="1" applyFont="1" applyFill="1" applyAlignment="1">
      <alignment horizontal="center" vertical="center"/>
    </xf>
    <xf numFmtId="180" fontId="12" fillId="0" borderId="0" xfId="26" applyNumberFormat="1" applyFont="1" applyFill="1" applyAlignment="1">
      <alignment horizontal="center" vertical="center"/>
    </xf>
    <xf numFmtId="0" fontId="52" fillId="0" borderId="0" xfId="26" applyFont="1" applyFill="1"/>
    <xf numFmtId="3" fontId="12" fillId="0" borderId="0" xfId="26" applyNumberFormat="1" applyFont="1" applyFill="1" applyAlignment="1">
      <alignment horizontal="center" vertical="center"/>
    </xf>
    <xf numFmtId="3" fontId="12" fillId="0" borderId="0" xfId="26" applyNumberFormat="1" applyFont="1" applyFill="1" applyAlignment="1">
      <alignment horizontal="center"/>
    </xf>
    <xf numFmtId="164" fontId="52" fillId="10" borderId="1" xfId="26" applyNumberFormat="1" applyFont="1" applyFill="1" applyBorder="1" applyAlignment="1">
      <alignment horizontal="center" vertical="center" wrapText="1"/>
    </xf>
    <xf numFmtId="164" fontId="52" fillId="10" borderId="1" xfId="26" applyNumberFormat="1" applyFont="1" applyFill="1" applyBorder="1" applyAlignment="1">
      <alignment horizontal="center" vertical="center"/>
    </xf>
    <xf numFmtId="169" fontId="52" fillId="10" borderId="1" xfId="26" applyNumberFormat="1" applyFont="1" applyFill="1" applyBorder="1" applyAlignment="1">
      <alignment horizontal="center" vertical="center"/>
    </xf>
    <xf numFmtId="164" fontId="52" fillId="10" borderId="1" xfId="26" applyNumberFormat="1" applyFont="1" applyFill="1" applyBorder="1" applyAlignment="1">
      <alignment horizontal="center"/>
    </xf>
    <xf numFmtId="4" fontId="52" fillId="10" borderId="1" xfId="26" applyNumberFormat="1" applyFont="1" applyFill="1" applyBorder="1" applyAlignment="1">
      <alignment horizontal="right" vertical="center" wrapText="1"/>
    </xf>
    <xf numFmtId="169" fontId="12" fillId="10" borderId="1" xfId="26" applyNumberFormat="1" applyFont="1" applyFill="1" applyBorder="1" applyAlignment="1">
      <alignment horizontal="right" vertical="center"/>
    </xf>
    <xf numFmtId="179" fontId="12" fillId="10" borderId="1" xfId="26" applyNumberFormat="1" applyFont="1" applyFill="1" applyBorder="1" applyAlignment="1">
      <alignment horizontal="center" vertical="center" wrapText="1"/>
    </xf>
    <xf numFmtId="4" fontId="12" fillId="10" borderId="1" xfId="26" applyNumberFormat="1" applyFont="1" applyFill="1" applyBorder="1" applyAlignment="1">
      <alignment horizontal="right" vertical="center" wrapText="1"/>
    </xf>
    <xf numFmtId="169" fontId="52" fillId="10" borderId="1" xfId="26" applyNumberFormat="1" applyFont="1" applyFill="1" applyBorder="1" applyAlignment="1">
      <alignment horizontal="right" vertical="center"/>
    </xf>
    <xf numFmtId="179" fontId="52" fillId="10" borderId="1" xfId="26" applyNumberFormat="1" applyFont="1" applyFill="1" applyBorder="1" applyAlignment="1">
      <alignment horizontal="center" vertical="center" wrapText="1"/>
    </xf>
    <xf numFmtId="169" fontId="54" fillId="10" borderId="1" xfId="26" applyNumberFormat="1" applyFont="1" applyFill="1" applyBorder="1" applyAlignment="1">
      <alignment horizontal="right" vertical="center"/>
    </xf>
    <xf numFmtId="179" fontId="54" fillId="10" borderId="1" xfId="26" applyNumberFormat="1" applyFont="1" applyFill="1" applyBorder="1" applyAlignment="1">
      <alignment horizontal="center" vertical="center" wrapText="1"/>
    </xf>
    <xf numFmtId="4" fontId="54" fillId="10" borderId="1" xfId="26" applyNumberFormat="1" applyFont="1" applyFill="1" applyBorder="1" applyAlignment="1">
      <alignment horizontal="right" vertical="center" wrapText="1"/>
    </xf>
    <xf numFmtId="3" fontId="15" fillId="0" borderId="0" xfId="13" applyNumberFormat="1" applyFont="1" applyAlignment="1">
      <alignment vertical="center" wrapText="1"/>
    </xf>
    <xf numFmtId="0" fontId="20" fillId="0" borderId="0" xfId="0" applyFont="1" applyFill="1"/>
    <xf numFmtId="0" fontId="15" fillId="0" borderId="0" xfId="13" applyFont="1" applyFill="1" applyAlignment="1">
      <alignment horizontal="left" vertical="center" wrapText="1"/>
    </xf>
    <xf numFmtId="0" fontId="18" fillId="0" borderId="2" xfId="13" applyFont="1" applyFill="1" applyBorder="1" applyAlignment="1">
      <alignment horizontal="center" vertical="center" wrapText="1"/>
    </xf>
    <xf numFmtId="0" fontId="18" fillId="0" borderId="4" xfId="13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5" fillId="0" borderId="0" xfId="3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3" fontId="15" fillId="0" borderId="0" xfId="5" applyNumberFormat="1" applyFont="1" applyFill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1" fontId="41" fillId="0" borderId="1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left"/>
    </xf>
    <xf numFmtId="0" fontId="41" fillId="0" borderId="0" xfId="0" applyNumberFormat="1" applyFont="1" applyAlignment="1">
      <alignment horizontal="center"/>
    </xf>
    <xf numFmtId="0" fontId="36" fillId="0" borderId="1" xfId="0" applyNumberFormat="1" applyFont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center" vertical="center" wrapText="1"/>
    </xf>
    <xf numFmtId="0" fontId="41" fillId="8" borderId="0" xfId="0" applyNumberFormat="1" applyFont="1" applyFill="1" applyAlignment="1">
      <alignment horizontal="center"/>
    </xf>
    <xf numFmtId="0" fontId="41" fillId="7" borderId="0" xfId="0" applyNumberFormat="1" applyFont="1" applyFill="1" applyAlignment="1">
      <alignment horizontal="center"/>
    </xf>
    <xf numFmtId="0" fontId="41" fillId="5" borderId="0" xfId="0" applyNumberFormat="1" applyFont="1" applyFill="1" applyAlignment="1">
      <alignment horizontal="center"/>
    </xf>
    <xf numFmtId="0" fontId="31" fillId="0" borderId="2" xfId="0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41" fillId="4" borderId="0" xfId="0" applyNumberFormat="1" applyFont="1" applyFill="1" applyAlignment="1">
      <alignment horizontal="center"/>
    </xf>
    <xf numFmtId="0" fontId="3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5" fillId="0" borderId="1" xfId="0" applyNumberFormat="1" applyFont="1" applyBorder="1" applyAlignment="1">
      <alignment horizontal="center" vertical="center" wrapText="1"/>
    </xf>
    <xf numFmtId="164" fontId="52" fillId="0" borderId="3" xfId="26" applyNumberFormat="1" applyFont="1" applyFill="1" applyBorder="1" applyAlignment="1">
      <alignment horizontal="center" vertical="center"/>
    </xf>
    <xf numFmtId="164" fontId="52" fillId="0" borderId="33" xfId="26" applyNumberFormat="1" applyFont="1" applyFill="1" applyBorder="1" applyAlignment="1">
      <alignment horizontal="center" vertical="center"/>
    </xf>
    <xf numFmtId="164" fontId="52" fillId="0" borderId="6" xfId="26" applyNumberFormat="1" applyFont="1" applyFill="1" applyBorder="1" applyAlignment="1">
      <alignment horizontal="center" vertical="center"/>
    </xf>
    <xf numFmtId="164" fontId="12" fillId="0" borderId="0" xfId="26" applyNumberFormat="1" applyFont="1" applyFill="1" applyAlignment="1">
      <alignment horizontal="center"/>
    </xf>
    <xf numFmtId="164" fontId="52" fillId="10" borderId="3" xfId="26" applyNumberFormat="1" applyFont="1" applyFill="1" applyBorder="1" applyAlignment="1">
      <alignment horizontal="center" vertical="center"/>
    </xf>
    <xf numFmtId="164" fontId="52" fillId="10" borderId="33" xfId="26" applyNumberFormat="1" applyFont="1" applyFill="1" applyBorder="1" applyAlignment="1">
      <alignment horizontal="center" vertical="center"/>
    </xf>
    <xf numFmtId="164" fontId="52" fillId="10" borderId="6" xfId="26" applyNumberFormat="1" applyFont="1" applyFill="1" applyBorder="1" applyAlignment="1">
      <alignment horizontal="center" vertical="center"/>
    </xf>
    <xf numFmtId="164" fontId="18" fillId="0" borderId="2" xfId="26" applyNumberFormat="1" applyFont="1" applyFill="1" applyBorder="1" applyAlignment="1">
      <alignment horizontal="center" vertical="center"/>
    </xf>
    <xf numFmtId="164" fontId="18" fillId="0" borderId="22" xfId="26" applyNumberFormat="1" applyFont="1" applyFill="1" applyBorder="1" applyAlignment="1">
      <alignment horizontal="center" vertical="center"/>
    </xf>
    <xf numFmtId="164" fontId="18" fillId="0" borderId="4" xfId="26" applyNumberFormat="1" applyFont="1" applyFill="1" applyBorder="1" applyAlignment="1">
      <alignment horizontal="center" vertical="center"/>
    </xf>
    <xf numFmtId="164" fontId="52" fillId="0" borderId="2" xfId="26" applyNumberFormat="1" applyFont="1" applyFill="1" applyBorder="1" applyAlignment="1">
      <alignment horizontal="center" vertical="center"/>
    </xf>
    <xf numFmtId="164" fontId="52" fillId="0" borderId="22" xfId="26" applyNumberFormat="1" applyFont="1" applyFill="1" applyBorder="1" applyAlignment="1">
      <alignment horizontal="center" vertical="center"/>
    </xf>
    <xf numFmtId="164" fontId="52" fillId="0" borderId="4" xfId="26" applyNumberFormat="1" applyFont="1" applyFill="1" applyBorder="1" applyAlignment="1">
      <alignment horizontal="center" vertical="center"/>
    </xf>
  </cellXfs>
  <cellStyles count="28">
    <cellStyle name="Normal 2" xfId="8"/>
    <cellStyle name="Обычный" xfId="0" builtinId="0"/>
    <cellStyle name="Обычный 10" xfId="17"/>
    <cellStyle name="Обычный 11" xfId="23"/>
    <cellStyle name="Обычный 2" xfId="7"/>
    <cellStyle name="Обычный 2 5" xfId="18"/>
    <cellStyle name="Обычный 2 7" xfId="21"/>
    <cellStyle name="Обычный 3" xfId="10"/>
    <cellStyle name="Обычный 4" xfId="11"/>
    <cellStyle name="Обычный 5" xfId="19"/>
    <cellStyle name="Обычный 6" xfId="20"/>
    <cellStyle name="Обычный 7" xfId="16"/>
    <cellStyle name="Обычный 8" xfId="22"/>
    <cellStyle name="Обычный 9" xfId="26"/>
    <cellStyle name="Обычный_Воды" xfId="2"/>
    <cellStyle name="Обычный_Проект тарифной сметы  УДТВ" xfId="13"/>
    <cellStyle name="Обычный_расчет прибыли06М" xfId="14"/>
    <cellStyle name="Обычный_тар. смета водохоз системы Шортанды (-15%)" xfId="15"/>
    <cellStyle name="Обычный_Тарифные сметы ВОДЫ 82-ОД" xfId="1"/>
    <cellStyle name="Обычный_Тарифные сметы ТЕПЛО 82-ОД" xfId="4"/>
    <cellStyle name="Обычный_Тепло" xfId="3"/>
    <cellStyle name="Обычный_ТОВАР" xfId="25"/>
    <cellStyle name="Обычный_ТЭЦы 30% АГС 400" xfId="5"/>
    <cellStyle name="Процентный" xfId="12" builtinId="5"/>
    <cellStyle name="Процентный 2" xfId="6"/>
    <cellStyle name="Процентный 3" xfId="27"/>
    <cellStyle name="Стиль 1" xfId="9"/>
    <cellStyle name="Финансовый [0]_Воды" xfId="24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-02-&#1055;&#1069;&#1054;/13%20&#1044;&#1069;/&#1057;&#1090;&#1072;&#1090;&#1086;&#1090;&#1095;&#1077;&#1090;&#1085;&#1086;&#1089;&#1090;&#1100;/2019&#1075;/1.&#1059;&#1087;&#1088;&#1072;&#1083;&#1077;&#1085;&#1080;&#1077;%20&#1057;&#1090;&#1072;&#1090;&#1080;&#1089;&#1090;&#1080;&#1082;&#1080;/1-&#1055;/&#1058;&#1086;&#1074;&#1072;&#1088;&#1082;&#1072;,%20&#1085;&#1077;&#1088;&#1072;&#1089;&#1087;&#1088;&#1077;&#1076;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-02-&#1055;&#1069;&#1054;/13%20&#1044;&#1069;/&#1057;&#1090;&#1072;&#1090;&#1086;&#1090;&#1095;&#1077;&#1090;&#1085;&#1086;&#1089;&#1090;&#1100;/2019&#1075;/1.&#1059;&#1087;&#1088;&#1072;&#1083;&#1077;&#1085;&#1080;&#1077;%20&#1057;&#1090;&#1072;&#1090;&#1080;&#1089;&#1090;&#1080;&#1082;&#1080;/1-&#1055;/&#1044;&#1052;&#1080;&#1057;/&#1085;&#1086;&#1103;&#1073;&#1088;&#1100;/&#1058;&#1072;&#1073;&#1083;&#1080;&#1094;&#1072;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-02-&#1087;&#1101;&#1086;/13%20&#1044;&#1069;/&#1057;&#1090;&#1072;&#1090;&#1086;&#1090;&#1095;&#1077;&#1090;&#1085;&#1086;&#1089;&#1090;&#1100;/2018&#1075;/1.&#1059;&#1087;&#1088;&#1072;&#1083;&#1077;&#1085;&#1080;&#1077;%20&#1057;&#1090;&#1072;&#1090;&#1080;&#1089;&#1090;&#1080;&#1082;&#1080;/1-&#1055;/&#1058;&#1086;&#1074;&#1072;&#1088;&#1082;&#1072;,%20&#1085;&#1077;&#1088;&#1072;&#1089;&#1087;&#1088;&#1077;&#1076;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"/>
      <sheetName val="не распр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товар с учетом ВИЭ и РМ"/>
    </sheetNames>
    <sheetDataSet>
      <sheetData sheetId="0"/>
      <sheetData sheetId="1">
        <row r="9">
          <cell r="C9">
            <v>5461</v>
          </cell>
          <cell r="D9">
            <v>3702</v>
          </cell>
          <cell r="E9">
            <v>3594</v>
          </cell>
          <cell r="G9">
            <v>1790</v>
          </cell>
          <cell r="H9">
            <v>12128</v>
          </cell>
          <cell r="I9">
            <v>8765</v>
          </cell>
          <cell r="L9">
            <v>5753</v>
          </cell>
          <cell r="M9">
            <v>3065</v>
          </cell>
          <cell r="N9">
            <v>3172</v>
          </cell>
          <cell r="Q9">
            <v>6637</v>
          </cell>
          <cell r="R9">
            <v>10038</v>
          </cell>
          <cell r="S9">
            <v>8090</v>
          </cell>
        </row>
        <row r="10">
          <cell r="C10">
            <v>22476</v>
          </cell>
          <cell r="D10">
            <v>-17003</v>
          </cell>
          <cell r="E10">
            <v>-8439</v>
          </cell>
          <cell r="G10">
            <v>21936</v>
          </cell>
          <cell r="H10">
            <v>56540</v>
          </cell>
          <cell r="I10">
            <v>25090</v>
          </cell>
          <cell r="L10">
            <v>56144</v>
          </cell>
          <cell r="M10">
            <v>45134</v>
          </cell>
          <cell r="N10">
            <v>-20009</v>
          </cell>
          <cell r="Q10">
            <v>17001</v>
          </cell>
          <cell r="R10">
            <v>102271</v>
          </cell>
          <cell r="S10">
            <v>32663</v>
          </cell>
        </row>
        <row r="11">
          <cell r="C11">
            <v>16584</v>
          </cell>
          <cell r="D11">
            <v>7951</v>
          </cell>
          <cell r="E11">
            <v>-5235</v>
          </cell>
          <cell r="G11">
            <v>20316</v>
          </cell>
          <cell r="H11">
            <v>13317</v>
          </cell>
          <cell r="I11">
            <v>1891</v>
          </cell>
          <cell r="L11">
            <v>12380</v>
          </cell>
          <cell r="M11">
            <v>9184</v>
          </cell>
          <cell r="N11">
            <v>4134</v>
          </cell>
          <cell r="Q11">
            <v>3642</v>
          </cell>
          <cell r="R11">
            <v>39171</v>
          </cell>
          <cell r="S11">
            <v>12268</v>
          </cell>
        </row>
        <row r="15">
          <cell r="C15">
            <v>63761</v>
          </cell>
          <cell r="D15">
            <v>39505</v>
          </cell>
          <cell r="E15">
            <v>55345</v>
          </cell>
          <cell r="G15">
            <v>29882</v>
          </cell>
          <cell r="H15">
            <v>25872</v>
          </cell>
          <cell r="I15">
            <v>38652</v>
          </cell>
          <cell r="L15">
            <v>82852</v>
          </cell>
          <cell r="M15">
            <v>60160</v>
          </cell>
          <cell r="N15">
            <v>64893</v>
          </cell>
          <cell r="Q15">
            <v>117783</v>
          </cell>
          <cell r="R15">
            <v>149032</v>
          </cell>
          <cell r="S15">
            <v>104759</v>
          </cell>
        </row>
        <row r="22">
          <cell r="C22">
            <v>8077037.4400000004</v>
          </cell>
          <cell r="D22">
            <v>5493545.8799999999</v>
          </cell>
          <cell r="E22">
            <v>5333280.3600000003</v>
          </cell>
          <cell r="G22">
            <v>2656252.6</v>
          </cell>
          <cell r="H22">
            <v>17997224.32</v>
          </cell>
          <cell r="I22">
            <v>13006734.1</v>
          </cell>
          <cell r="L22">
            <v>8537106.8200000003</v>
          </cell>
          <cell r="M22">
            <v>4548276.0999999996</v>
          </cell>
          <cell r="N22">
            <v>4707057.68</v>
          </cell>
          <cell r="Q22">
            <v>9848909.7799999993</v>
          </cell>
          <cell r="R22">
            <v>14895789.720000001</v>
          </cell>
          <cell r="S22">
            <v>12005074.6</v>
          </cell>
        </row>
        <row r="23">
          <cell r="C23">
            <v>2626994.88</v>
          </cell>
          <cell r="D23">
            <v>-1987310.64</v>
          </cell>
          <cell r="E23">
            <v>-986350.32</v>
          </cell>
          <cell r="G23">
            <v>2563879.6800000002</v>
          </cell>
          <cell r="H23">
            <v>6608395.2000000002</v>
          </cell>
          <cell r="I23">
            <v>2932519.2</v>
          </cell>
          <cell r="L23">
            <v>6562110.7199999997</v>
          </cell>
          <cell r="M23">
            <v>5275261.92</v>
          </cell>
          <cell r="N23">
            <v>-2338651.92</v>
          </cell>
          <cell r="Q23">
            <v>1987076.88</v>
          </cell>
          <cell r="R23">
            <v>11953434.48</v>
          </cell>
          <cell r="S23">
            <v>3817651.44</v>
          </cell>
        </row>
        <row r="24">
          <cell r="C24">
            <v>534999.84</v>
          </cell>
          <cell r="D24">
            <v>256499.26</v>
          </cell>
          <cell r="E24">
            <v>-168881.1</v>
          </cell>
          <cell r="G24">
            <v>655394.16</v>
          </cell>
          <cell r="H24">
            <v>429606.42</v>
          </cell>
          <cell r="I24">
            <v>61003.66</v>
          </cell>
          <cell r="L24">
            <v>399378.8</v>
          </cell>
          <cell r="M24">
            <v>296275.84000000003</v>
          </cell>
          <cell r="N24">
            <v>133362.84</v>
          </cell>
          <cell r="Q24">
            <v>117490.92</v>
          </cell>
          <cell r="R24">
            <v>1263656.46</v>
          </cell>
          <cell r="S24">
            <v>395765.68</v>
          </cell>
        </row>
        <row r="28">
          <cell r="C28">
            <v>5499386.25</v>
          </cell>
          <cell r="D28">
            <v>3407306.25</v>
          </cell>
          <cell r="E28">
            <v>4773506.25</v>
          </cell>
          <cell r="G28">
            <v>2577322.5</v>
          </cell>
          <cell r="H28">
            <v>2231460</v>
          </cell>
          <cell r="I28">
            <v>3333735</v>
          </cell>
          <cell r="L28">
            <v>7145985</v>
          </cell>
          <cell r="M28">
            <v>5188800</v>
          </cell>
          <cell r="N28">
            <v>5597021.25</v>
          </cell>
          <cell r="Q28">
            <v>10158783.75</v>
          </cell>
          <cell r="R28">
            <v>12854010</v>
          </cell>
          <cell r="S28">
            <v>9035463.75</v>
          </cell>
        </row>
        <row r="29">
          <cell r="C29">
            <v>16738418.41</v>
          </cell>
          <cell r="D29">
            <v>7170040.75</v>
          </cell>
          <cell r="E29">
            <v>8951555.1899999995</v>
          </cell>
          <cell r="F29">
            <v>32860014.350000001</v>
          </cell>
          <cell r="G29">
            <v>8452848.9399999995</v>
          </cell>
          <cell r="H29">
            <v>27266685.940000001</v>
          </cell>
          <cell r="J29">
            <v>55053526.840000004</v>
          </cell>
          <cell r="K29">
            <v>87913541.189999998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</row>
      </sheetData>
      <sheetData sheetId="2">
        <row r="10">
          <cell r="B10">
            <v>382580676</v>
          </cell>
          <cell r="C10">
            <v>4463738034.1800003</v>
          </cell>
        </row>
        <row r="14">
          <cell r="B14">
            <v>1921</v>
          </cell>
          <cell r="C14">
            <v>4353523.88</v>
          </cell>
        </row>
        <row r="38">
          <cell r="B38">
            <v>162963</v>
          </cell>
          <cell r="C38">
            <v>345345509.92000002</v>
          </cell>
        </row>
        <row r="45">
          <cell r="B45">
            <v>865168</v>
          </cell>
          <cell r="C45">
            <v>132300843.69</v>
          </cell>
        </row>
        <row r="51">
          <cell r="B51">
            <v>213797</v>
          </cell>
          <cell r="C51">
            <v>9423057.1699999999</v>
          </cell>
        </row>
        <row r="55">
          <cell r="B55">
            <v>2829</v>
          </cell>
          <cell r="C55">
            <v>8579310.2699999996</v>
          </cell>
        </row>
        <row r="61">
          <cell r="B61">
            <v>299455</v>
          </cell>
          <cell r="C61">
            <v>28923251.030000001</v>
          </cell>
        </row>
        <row r="65">
          <cell r="B65">
            <v>160809</v>
          </cell>
          <cell r="C65">
            <v>27337530</v>
          </cell>
        </row>
        <row r="69">
          <cell r="B69">
            <v>18216</v>
          </cell>
          <cell r="C69">
            <v>22132440</v>
          </cell>
        </row>
        <row r="72">
          <cell r="C72">
            <v>5042133500.1400003</v>
          </cell>
        </row>
      </sheetData>
      <sheetData sheetId="3">
        <row r="14">
          <cell r="B14">
            <v>345839017</v>
          </cell>
          <cell r="C14">
            <v>4043317448.46</v>
          </cell>
        </row>
        <row r="18">
          <cell r="B18">
            <v>1847</v>
          </cell>
          <cell r="C18">
            <v>4185819.16</v>
          </cell>
        </row>
        <row r="55">
          <cell r="B55">
            <v>143191</v>
          </cell>
          <cell r="C55">
            <v>306391362.92000002</v>
          </cell>
        </row>
        <row r="62">
          <cell r="B62">
            <v>823772</v>
          </cell>
          <cell r="C62">
            <v>128812143.26000001</v>
          </cell>
        </row>
        <row r="68">
          <cell r="B68">
            <v>204019</v>
          </cell>
          <cell r="C68">
            <v>9430766.5299999993</v>
          </cell>
        </row>
        <row r="73">
          <cell r="B73">
            <v>2720</v>
          </cell>
          <cell r="C73">
            <v>9527996.8000000007</v>
          </cell>
        </row>
        <row r="79">
          <cell r="B79">
            <v>249005</v>
          </cell>
          <cell r="C79">
            <v>23620783.25</v>
          </cell>
        </row>
        <row r="83">
          <cell r="B83">
            <v>143927</v>
          </cell>
          <cell r="C83">
            <v>24467590</v>
          </cell>
        </row>
        <row r="87">
          <cell r="B87">
            <v>15401</v>
          </cell>
          <cell r="C87">
            <v>18712215</v>
          </cell>
        </row>
        <row r="90">
          <cell r="C90">
            <v>4568466125.3800001</v>
          </cell>
        </row>
      </sheetData>
      <sheetData sheetId="4">
        <row r="20">
          <cell r="B20">
            <v>330017516</v>
          </cell>
          <cell r="C20">
            <v>3840966277.3600001</v>
          </cell>
        </row>
        <row r="24">
          <cell r="B24">
            <v>1697</v>
          </cell>
          <cell r="C24">
            <v>3845877.16</v>
          </cell>
        </row>
        <row r="62">
          <cell r="B62">
            <v>127769</v>
          </cell>
          <cell r="C62">
            <v>277660407.94</v>
          </cell>
        </row>
        <row r="69">
          <cell r="B69">
            <v>825919</v>
          </cell>
          <cell r="C69">
            <v>120288061.54000001</v>
          </cell>
        </row>
        <row r="75">
          <cell r="B75">
            <v>215366</v>
          </cell>
          <cell r="C75">
            <v>9557364.1699999999</v>
          </cell>
        </row>
        <row r="80">
          <cell r="B80">
            <v>2510</v>
          </cell>
          <cell r="C80">
            <v>8792379.4000000004</v>
          </cell>
        </row>
        <row r="88">
          <cell r="B88">
            <v>281325</v>
          </cell>
          <cell r="C88">
            <v>26610340.390000001</v>
          </cell>
        </row>
        <row r="92">
          <cell r="B92">
            <v>135538</v>
          </cell>
          <cell r="C92">
            <v>23041460</v>
          </cell>
        </row>
        <row r="96">
          <cell r="B96">
            <v>14017</v>
          </cell>
          <cell r="C96">
            <v>17030655</v>
          </cell>
        </row>
        <row r="99">
          <cell r="C99">
            <v>4327792822.96</v>
          </cell>
        </row>
      </sheetData>
      <sheetData sheetId="5">
        <row r="20">
          <cell r="B20">
            <v>292461089</v>
          </cell>
          <cell r="C20">
            <v>3404150334.2600002</v>
          </cell>
        </row>
        <row r="24">
          <cell r="B24">
            <v>1006</v>
          </cell>
          <cell r="C24">
            <v>2279877.6800000002</v>
          </cell>
        </row>
        <row r="63">
          <cell r="B63">
            <v>87929</v>
          </cell>
          <cell r="C63">
            <v>206608170.08000001</v>
          </cell>
        </row>
        <row r="70">
          <cell r="B70">
            <v>882232</v>
          </cell>
          <cell r="C70">
            <v>136110310.93000001</v>
          </cell>
        </row>
        <row r="77">
          <cell r="B77">
            <v>208178</v>
          </cell>
          <cell r="C77">
            <v>9557318.5</v>
          </cell>
        </row>
        <row r="82">
          <cell r="B82">
            <v>1494</v>
          </cell>
          <cell r="C82">
            <v>5233392.3600000003</v>
          </cell>
        </row>
        <row r="90">
          <cell r="B90">
            <v>257980</v>
          </cell>
          <cell r="C90">
            <v>25059802.02</v>
          </cell>
        </row>
        <row r="94">
          <cell r="B94">
            <v>139590</v>
          </cell>
          <cell r="C94">
            <v>23730300</v>
          </cell>
        </row>
        <row r="98">
          <cell r="B98">
            <v>16198</v>
          </cell>
          <cell r="C98">
            <v>19680570</v>
          </cell>
        </row>
        <row r="101">
          <cell r="C101">
            <v>3832410075.8299999</v>
          </cell>
        </row>
      </sheetData>
      <sheetData sheetId="6">
        <row r="22">
          <cell r="B22">
            <v>278537068</v>
          </cell>
          <cell r="C22">
            <v>3242097657</v>
          </cell>
        </row>
        <row r="26">
          <cell r="B26">
            <v>600</v>
          </cell>
          <cell r="C26">
            <v>1359768</v>
          </cell>
        </row>
        <row r="66">
          <cell r="B66">
            <v>19927</v>
          </cell>
          <cell r="C66">
            <v>21389937.809999999</v>
          </cell>
        </row>
        <row r="73">
          <cell r="B73">
            <v>1077910</v>
          </cell>
          <cell r="C73">
            <v>164625420.46000001</v>
          </cell>
        </row>
        <row r="81">
          <cell r="B81">
            <v>221528</v>
          </cell>
          <cell r="C81">
            <v>10198699.82</v>
          </cell>
        </row>
        <row r="86">
          <cell r="B86">
            <v>896</v>
          </cell>
          <cell r="C86">
            <v>3138634.24</v>
          </cell>
        </row>
        <row r="94">
          <cell r="B94">
            <v>222219</v>
          </cell>
          <cell r="C94">
            <v>20920647.289999999</v>
          </cell>
        </row>
        <row r="98">
          <cell r="B98">
            <v>136278</v>
          </cell>
          <cell r="C98">
            <v>23167260</v>
          </cell>
        </row>
        <row r="102">
          <cell r="B102">
            <v>17830</v>
          </cell>
          <cell r="C102">
            <v>21663450</v>
          </cell>
        </row>
        <row r="105">
          <cell r="C105">
            <v>3508561474.6199999</v>
          </cell>
        </row>
      </sheetData>
      <sheetData sheetId="7">
        <row r="22">
          <cell r="B22">
            <v>343723797</v>
          </cell>
          <cell r="C22">
            <v>4000833592.3400002</v>
          </cell>
        </row>
        <row r="27">
          <cell r="B27">
            <v>504</v>
          </cell>
          <cell r="C27">
            <v>1146811.68</v>
          </cell>
        </row>
        <row r="67">
          <cell r="B67">
            <v>14579</v>
          </cell>
          <cell r="C67">
            <v>12596080.539999999</v>
          </cell>
        </row>
        <row r="74">
          <cell r="B74">
            <v>1300775</v>
          </cell>
          <cell r="C74">
            <v>204566004.05000001</v>
          </cell>
        </row>
        <row r="82">
          <cell r="B82">
            <v>250171</v>
          </cell>
          <cell r="C82">
            <v>12075932.050000001</v>
          </cell>
        </row>
        <row r="87">
          <cell r="B87">
            <v>759</v>
          </cell>
          <cell r="C87">
            <v>2658731.46</v>
          </cell>
        </row>
        <row r="95">
          <cell r="B95">
            <v>236692</v>
          </cell>
          <cell r="C95">
            <v>21274194.260000002</v>
          </cell>
        </row>
        <row r="99">
          <cell r="B99">
            <v>166360</v>
          </cell>
          <cell r="C99">
            <v>28281200</v>
          </cell>
        </row>
        <row r="103">
          <cell r="B103">
            <v>19594</v>
          </cell>
          <cell r="C103">
            <v>23806710</v>
          </cell>
        </row>
        <row r="106">
          <cell r="C106">
            <v>4307239256.3800001</v>
          </cell>
        </row>
      </sheetData>
      <sheetData sheetId="8">
        <row r="22">
          <cell r="B22">
            <v>359915431</v>
          </cell>
          <cell r="C22">
            <v>4189243219.5799999</v>
          </cell>
        </row>
        <row r="27">
          <cell r="B27">
            <v>472</v>
          </cell>
          <cell r="C27">
            <v>1073998.24</v>
          </cell>
        </row>
        <row r="67">
          <cell r="B67">
            <v>12275</v>
          </cell>
          <cell r="C67">
            <v>21433546.210000001</v>
          </cell>
        </row>
        <row r="74">
          <cell r="B74">
            <v>1382110</v>
          </cell>
          <cell r="C74">
            <v>218835314.84999999</v>
          </cell>
        </row>
        <row r="82">
          <cell r="B82">
            <v>264150</v>
          </cell>
          <cell r="C82">
            <v>13856671.140000001</v>
          </cell>
        </row>
        <row r="87">
          <cell r="B87">
            <v>704</v>
          </cell>
          <cell r="C87">
            <v>2466069.7599999998</v>
          </cell>
        </row>
        <row r="95">
          <cell r="B95">
            <v>254782</v>
          </cell>
          <cell r="C95">
            <v>23306041.719999999</v>
          </cell>
        </row>
        <row r="99">
          <cell r="B99">
            <v>176383</v>
          </cell>
          <cell r="C99">
            <v>29985110</v>
          </cell>
        </row>
        <row r="103">
          <cell r="B103">
            <v>20919</v>
          </cell>
          <cell r="C103">
            <v>25416585</v>
          </cell>
        </row>
      </sheetData>
      <sheetData sheetId="9">
        <row r="23">
          <cell r="B23">
            <v>338446081</v>
          </cell>
          <cell r="C23">
            <v>3939429434.5100002</v>
          </cell>
        </row>
        <row r="28">
          <cell r="B28">
            <v>365</v>
          </cell>
          <cell r="C28">
            <v>830528.3</v>
          </cell>
        </row>
        <row r="68">
          <cell r="B68">
            <v>9978</v>
          </cell>
          <cell r="C68">
            <v>18664671.300000001</v>
          </cell>
        </row>
        <row r="75">
          <cell r="B75">
            <v>1381477</v>
          </cell>
          <cell r="C75">
            <v>219292630.19999999</v>
          </cell>
        </row>
        <row r="84">
          <cell r="B84">
            <v>243389</v>
          </cell>
          <cell r="C84">
            <v>12589191.710000001</v>
          </cell>
        </row>
        <row r="89">
          <cell r="B89">
            <v>547</v>
          </cell>
          <cell r="C89">
            <v>1916108.18</v>
          </cell>
        </row>
        <row r="97">
          <cell r="B97">
            <v>253024</v>
          </cell>
          <cell r="C97">
            <v>23426024.699999999</v>
          </cell>
        </row>
        <row r="101">
          <cell r="B101">
            <v>158513</v>
          </cell>
          <cell r="C101">
            <v>26947210</v>
          </cell>
        </row>
        <row r="105">
          <cell r="B105">
            <v>20541</v>
          </cell>
          <cell r="C105">
            <v>24957315</v>
          </cell>
        </row>
      </sheetData>
      <sheetData sheetId="10">
        <row r="24">
          <cell r="B24">
            <v>298059070</v>
          </cell>
          <cell r="C24">
            <v>3469377831.29</v>
          </cell>
        </row>
        <row r="29">
          <cell r="B29">
            <v>364</v>
          </cell>
          <cell r="C29">
            <v>828252.88</v>
          </cell>
        </row>
        <row r="69">
          <cell r="B69">
            <v>8718</v>
          </cell>
          <cell r="C69">
            <v>15165142.16</v>
          </cell>
        </row>
        <row r="76">
          <cell r="B76">
            <v>1263074</v>
          </cell>
          <cell r="C76">
            <v>198631450.53999999</v>
          </cell>
        </row>
        <row r="85">
          <cell r="B85">
            <v>218661</v>
          </cell>
          <cell r="C85">
            <v>10348531.470000001</v>
          </cell>
        </row>
        <row r="90">
          <cell r="B90">
            <v>549</v>
          </cell>
          <cell r="C90">
            <v>1923114.06</v>
          </cell>
        </row>
        <row r="98">
          <cell r="B98">
            <v>226852</v>
          </cell>
          <cell r="C98">
            <v>20759710.5</v>
          </cell>
        </row>
        <row r="102">
          <cell r="B102">
            <v>86820</v>
          </cell>
          <cell r="C102">
            <v>14759400</v>
          </cell>
        </row>
        <row r="106">
          <cell r="B106">
            <v>7716</v>
          </cell>
          <cell r="C106">
            <v>9374940</v>
          </cell>
        </row>
      </sheetData>
      <sheetData sheetId="11">
        <row r="24">
          <cell r="B24">
            <v>325310960</v>
          </cell>
          <cell r="C24">
            <v>3779322136.4000001</v>
          </cell>
        </row>
        <row r="29">
          <cell r="B29">
            <v>953</v>
          </cell>
          <cell r="C29">
            <v>2168475.2599999998</v>
          </cell>
        </row>
        <row r="69">
          <cell r="B69">
            <v>34579</v>
          </cell>
          <cell r="C69">
            <v>74382144.329999998</v>
          </cell>
        </row>
        <row r="76">
          <cell r="B76">
            <v>1132077</v>
          </cell>
          <cell r="C76">
            <v>172466047.94</v>
          </cell>
        </row>
        <row r="85">
          <cell r="B85">
            <v>227078</v>
          </cell>
          <cell r="C85">
            <v>10875034.67</v>
          </cell>
        </row>
        <row r="90">
          <cell r="B90">
            <v>1422</v>
          </cell>
          <cell r="C90">
            <v>4981180.68</v>
          </cell>
        </row>
        <row r="98">
          <cell r="B98">
            <v>294262</v>
          </cell>
          <cell r="C98">
            <v>26628102.609999999</v>
          </cell>
        </row>
        <row r="102">
          <cell r="B102">
            <v>152172</v>
          </cell>
          <cell r="C102">
            <v>25869240</v>
          </cell>
        </row>
        <row r="106">
          <cell r="B106">
            <v>17246</v>
          </cell>
          <cell r="C106">
            <v>20953890</v>
          </cell>
        </row>
      </sheetData>
      <sheetData sheetId="12">
        <row r="25">
          <cell r="B25">
            <v>367840392</v>
          </cell>
          <cell r="C25">
            <v>4456849869.2200003</v>
          </cell>
        </row>
        <row r="30">
          <cell r="B30">
            <v>222</v>
          </cell>
          <cell r="C30">
            <v>505143.24</v>
          </cell>
        </row>
        <row r="71">
          <cell r="B71">
            <v>138097</v>
          </cell>
          <cell r="C71">
            <v>308624129.94</v>
          </cell>
        </row>
        <row r="78">
          <cell r="C78">
            <v>158374457.86000001</v>
          </cell>
        </row>
        <row r="87">
          <cell r="B87">
            <v>215169</v>
          </cell>
          <cell r="C87">
            <v>10647091.68</v>
          </cell>
        </row>
        <row r="92">
          <cell r="B92">
            <v>334</v>
          </cell>
          <cell r="C92">
            <v>1169981.96</v>
          </cell>
        </row>
        <row r="100">
          <cell r="B100">
            <v>346768</v>
          </cell>
          <cell r="C100">
            <v>31930853.949999999</v>
          </cell>
        </row>
        <row r="104">
          <cell r="B104">
            <v>140928</v>
          </cell>
          <cell r="C104">
            <v>23957760</v>
          </cell>
        </row>
        <row r="108">
          <cell r="B108">
            <v>18129</v>
          </cell>
          <cell r="C108">
            <v>22026735</v>
          </cell>
        </row>
      </sheetData>
      <sheetData sheetId="13">
        <row r="25">
          <cell r="B25">
            <v>415741877</v>
          </cell>
          <cell r="C25">
            <v>5038755370.5699997</v>
          </cell>
        </row>
        <row r="30">
          <cell r="B30">
            <v>1237</v>
          </cell>
          <cell r="C30">
            <v>2814694.54</v>
          </cell>
        </row>
        <row r="71">
          <cell r="B71">
            <v>162262</v>
          </cell>
          <cell r="C71">
            <v>325466571.94999999</v>
          </cell>
        </row>
        <row r="78">
          <cell r="B78">
            <v>1004168</v>
          </cell>
          <cell r="C78">
            <v>149995410.97999999</v>
          </cell>
        </row>
        <row r="87">
          <cell r="B87">
            <v>226201</v>
          </cell>
          <cell r="C87">
            <v>10515012.52</v>
          </cell>
        </row>
        <row r="92">
          <cell r="B92">
            <v>1822</v>
          </cell>
          <cell r="C92">
            <v>6382356.6799999997</v>
          </cell>
        </row>
        <row r="100">
          <cell r="B100">
            <v>331048</v>
          </cell>
          <cell r="C100">
            <v>31073280.030000001</v>
          </cell>
        </row>
        <row r="104">
          <cell r="B104">
            <v>143220</v>
          </cell>
          <cell r="C104">
            <v>24347400</v>
          </cell>
        </row>
        <row r="108">
          <cell r="B108">
            <v>16687</v>
          </cell>
          <cell r="C108">
            <v>20274705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78">
          <cell r="B78">
            <v>1039195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"/>
      <sheetName val="не распр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>
        <row r="10">
          <cell r="BH10">
            <v>930015</v>
          </cell>
          <cell r="BJ10">
            <v>1892062611.9200001</v>
          </cell>
        </row>
        <row r="27">
          <cell r="BH27">
            <v>3996254375</v>
          </cell>
          <cell r="BJ27">
            <v>56289847791.75</v>
          </cell>
        </row>
        <row r="28">
          <cell r="BH28">
            <v>868022</v>
          </cell>
          <cell r="BJ28">
            <v>1806608923.0999999</v>
          </cell>
        </row>
        <row r="29">
          <cell r="BH29">
            <v>11762947</v>
          </cell>
          <cell r="BJ29">
            <v>1902444037.6700001</v>
          </cell>
        </row>
        <row r="30">
          <cell r="BH30">
            <v>2849525</v>
          </cell>
          <cell r="BJ30">
            <v>137594164.31</v>
          </cell>
        </row>
        <row r="31">
          <cell r="BH31">
            <v>1794534</v>
          </cell>
          <cell r="BJ31">
            <v>305070780</v>
          </cell>
        </row>
        <row r="32">
          <cell r="BH32">
            <v>201135</v>
          </cell>
          <cell r="BJ32">
            <v>240342552</v>
          </cell>
        </row>
        <row r="34">
          <cell r="BH34">
            <v>36644</v>
          </cell>
          <cell r="BJ34">
            <v>111127693.72</v>
          </cell>
        </row>
        <row r="35">
          <cell r="BH35">
            <v>2351399</v>
          </cell>
          <cell r="BJ35">
            <v>224520653.11000001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>
      <selection activeCell="D114" sqref="D114"/>
    </sheetView>
  </sheetViews>
  <sheetFormatPr defaultColWidth="9.140625" defaultRowHeight="15" x14ac:dyDescent="0.25"/>
  <cols>
    <col min="1" max="1" width="6.5703125" style="8" customWidth="1"/>
    <col min="2" max="2" width="38.7109375" style="9" customWidth="1"/>
    <col min="3" max="3" width="11.42578125" style="8" customWidth="1"/>
    <col min="4" max="4" width="15.7109375" style="44" customWidth="1"/>
    <col min="5" max="5" width="16.85546875" style="37" customWidth="1"/>
    <col min="6" max="6" width="13.140625" style="36" customWidth="1"/>
    <col min="7" max="7" width="11.42578125" style="10" bestFit="1" customWidth="1"/>
    <col min="8" max="8" width="11.7109375" style="10" customWidth="1"/>
    <col min="9" max="225" width="9.140625" style="10"/>
    <col min="226" max="226" width="6.7109375" style="10" customWidth="1"/>
    <col min="227" max="227" width="38" style="10" customWidth="1"/>
    <col min="228" max="228" width="10.140625" style="10" customWidth="1"/>
    <col min="229" max="229" width="10.85546875" style="10" customWidth="1"/>
    <col min="230" max="234" width="10.42578125" style="10" customWidth="1"/>
    <col min="235" max="235" width="11.85546875" style="10" customWidth="1"/>
    <col min="236" max="240" width="10.42578125" style="10" customWidth="1"/>
    <col min="241" max="241" width="12.140625" style="10" customWidth="1"/>
    <col min="242" max="242" width="11.28515625" style="10" customWidth="1"/>
    <col min="243" max="481" width="9.140625" style="10"/>
    <col min="482" max="482" width="6.7109375" style="10" customWidth="1"/>
    <col min="483" max="483" width="38" style="10" customWidth="1"/>
    <col min="484" max="484" width="10.140625" style="10" customWidth="1"/>
    <col min="485" max="485" width="10.85546875" style="10" customWidth="1"/>
    <col min="486" max="490" width="10.42578125" style="10" customWidth="1"/>
    <col min="491" max="491" width="11.85546875" style="10" customWidth="1"/>
    <col min="492" max="496" width="10.42578125" style="10" customWidth="1"/>
    <col min="497" max="497" width="12.140625" style="10" customWidth="1"/>
    <col min="498" max="498" width="11.28515625" style="10" customWidth="1"/>
    <col min="499" max="737" width="9.140625" style="10"/>
    <col min="738" max="738" width="6.7109375" style="10" customWidth="1"/>
    <col min="739" max="739" width="38" style="10" customWidth="1"/>
    <col min="740" max="740" width="10.140625" style="10" customWidth="1"/>
    <col min="741" max="741" width="10.85546875" style="10" customWidth="1"/>
    <col min="742" max="746" width="10.42578125" style="10" customWidth="1"/>
    <col min="747" max="747" width="11.85546875" style="10" customWidth="1"/>
    <col min="748" max="752" width="10.42578125" style="10" customWidth="1"/>
    <col min="753" max="753" width="12.140625" style="10" customWidth="1"/>
    <col min="754" max="754" width="11.28515625" style="10" customWidth="1"/>
    <col min="755" max="993" width="9.140625" style="10"/>
    <col min="994" max="994" width="6.7109375" style="10" customWidth="1"/>
    <col min="995" max="995" width="38" style="10" customWidth="1"/>
    <col min="996" max="996" width="10.140625" style="10" customWidth="1"/>
    <col min="997" max="997" width="10.85546875" style="10" customWidth="1"/>
    <col min="998" max="1002" width="10.42578125" style="10" customWidth="1"/>
    <col min="1003" max="1003" width="11.85546875" style="10" customWidth="1"/>
    <col min="1004" max="1008" width="10.42578125" style="10" customWidth="1"/>
    <col min="1009" max="1009" width="12.140625" style="10" customWidth="1"/>
    <col min="1010" max="1010" width="11.28515625" style="10" customWidth="1"/>
    <col min="1011" max="1249" width="9.140625" style="10"/>
    <col min="1250" max="1250" width="6.7109375" style="10" customWidth="1"/>
    <col min="1251" max="1251" width="38" style="10" customWidth="1"/>
    <col min="1252" max="1252" width="10.140625" style="10" customWidth="1"/>
    <col min="1253" max="1253" width="10.85546875" style="10" customWidth="1"/>
    <col min="1254" max="1258" width="10.42578125" style="10" customWidth="1"/>
    <col min="1259" max="1259" width="11.85546875" style="10" customWidth="1"/>
    <col min="1260" max="1264" width="10.42578125" style="10" customWidth="1"/>
    <col min="1265" max="1265" width="12.140625" style="10" customWidth="1"/>
    <col min="1266" max="1266" width="11.28515625" style="10" customWidth="1"/>
    <col min="1267" max="1505" width="9.140625" style="10"/>
    <col min="1506" max="1506" width="6.7109375" style="10" customWidth="1"/>
    <col min="1507" max="1507" width="38" style="10" customWidth="1"/>
    <col min="1508" max="1508" width="10.140625" style="10" customWidth="1"/>
    <col min="1509" max="1509" width="10.85546875" style="10" customWidth="1"/>
    <col min="1510" max="1514" width="10.42578125" style="10" customWidth="1"/>
    <col min="1515" max="1515" width="11.85546875" style="10" customWidth="1"/>
    <col min="1516" max="1520" width="10.42578125" style="10" customWidth="1"/>
    <col min="1521" max="1521" width="12.140625" style="10" customWidth="1"/>
    <col min="1522" max="1522" width="11.28515625" style="10" customWidth="1"/>
    <col min="1523" max="1761" width="9.140625" style="10"/>
    <col min="1762" max="1762" width="6.7109375" style="10" customWidth="1"/>
    <col min="1763" max="1763" width="38" style="10" customWidth="1"/>
    <col min="1764" max="1764" width="10.140625" style="10" customWidth="1"/>
    <col min="1765" max="1765" width="10.85546875" style="10" customWidth="1"/>
    <col min="1766" max="1770" width="10.42578125" style="10" customWidth="1"/>
    <col min="1771" max="1771" width="11.85546875" style="10" customWidth="1"/>
    <col min="1772" max="1776" width="10.42578125" style="10" customWidth="1"/>
    <col min="1777" max="1777" width="12.140625" style="10" customWidth="1"/>
    <col min="1778" max="1778" width="11.28515625" style="10" customWidth="1"/>
    <col min="1779" max="2017" width="9.140625" style="10"/>
    <col min="2018" max="2018" width="6.7109375" style="10" customWidth="1"/>
    <col min="2019" max="2019" width="38" style="10" customWidth="1"/>
    <col min="2020" max="2020" width="10.140625" style="10" customWidth="1"/>
    <col min="2021" max="2021" width="10.85546875" style="10" customWidth="1"/>
    <col min="2022" max="2026" width="10.42578125" style="10" customWidth="1"/>
    <col min="2027" max="2027" width="11.85546875" style="10" customWidth="1"/>
    <col min="2028" max="2032" width="10.42578125" style="10" customWidth="1"/>
    <col min="2033" max="2033" width="12.140625" style="10" customWidth="1"/>
    <col min="2034" max="2034" width="11.28515625" style="10" customWidth="1"/>
    <col min="2035" max="2273" width="9.140625" style="10"/>
    <col min="2274" max="2274" width="6.7109375" style="10" customWidth="1"/>
    <col min="2275" max="2275" width="38" style="10" customWidth="1"/>
    <col min="2276" max="2276" width="10.140625" style="10" customWidth="1"/>
    <col min="2277" max="2277" width="10.85546875" style="10" customWidth="1"/>
    <col min="2278" max="2282" width="10.42578125" style="10" customWidth="1"/>
    <col min="2283" max="2283" width="11.85546875" style="10" customWidth="1"/>
    <col min="2284" max="2288" width="10.42578125" style="10" customWidth="1"/>
    <col min="2289" max="2289" width="12.140625" style="10" customWidth="1"/>
    <col min="2290" max="2290" width="11.28515625" style="10" customWidth="1"/>
    <col min="2291" max="2529" width="9.140625" style="10"/>
    <col min="2530" max="2530" width="6.7109375" style="10" customWidth="1"/>
    <col min="2531" max="2531" width="38" style="10" customWidth="1"/>
    <col min="2532" max="2532" width="10.140625" style="10" customWidth="1"/>
    <col min="2533" max="2533" width="10.85546875" style="10" customWidth="1"/>
    <col min="2534" max="2538" width="10.42578125" style="10" customWidth="1"/>
    <col min="2539" max="2539" width="11.85546875" style="10" customWidth="1"/>
    <col min="2540" max="2544" width="10.42578125" style="10" customWidth="1"/>
    <col min="2545" max="2545" width="12.140625" style="10" customWidth="1"/>
    <col min="2546" max="2546" width="11.28515625" style="10" customWidth="1"/>
    <col min="2547" max="2785" width="9.140625" style="10"/>
    <col min="2786" max="2786" width="6.7109375" style="10" customWidth="1"/>
    <col min="2787" max="2787" width="38" style="10" customWidth="1"/>
    <col min="2788" max="2788" width="10.140625" style="10" customWidth="1"/>
    <col min="2789" max="2789" width="10.85546875" style="10" customWidth="1"/>
    <col min="2790" max="2794" width="10.42578125" style="10" customWidth="1"/>
    <col min="2795" max="2795" width="11.85546875" style="10" customWidth="1"/>
    <col min="2796" max="2800" width="10.42578125" style="10" customWidth="1"/>
    <col min="2801" max="2801" width="12.140625" style="10" customWidth="1"/>
    <col min="2802" max="2802" width="11.28515625" style="10" customWidth="1"/>
    <col min="2803" max="3041" width="9.140625" style="10"/>
    <col min="3042" max="3042" width="6.7109375" style="10" customWidth="1"/>
    <col min="3043" max="3043" width="38" style="10" customWidth="1"/>
    <col min="3044" max="3044" width="10.140625" style="10" customWidth="1"/>
    <col min="3045" max="3045" width="10.85546875" style="10" customWidth="1"/>
    <col min="3046" max="3050" width="10.42578125" style="10" customWidth="1"/>
    <col min="3051" max="3051" width="11.85546875" style="10" customWidth="1"/>
    <col min="3052" max="3056" width="10.42578125" style="10" customWidth="1"/>
    <col min="3057" max="3057" width="12.140625" style="10" customWidth="1"/>
    <col min="3058" max="3058" width="11.28515625" style="10" customWidth="1"/>
    <col min="3059" max="3297" width="9.140625" style="10"/>
    <col min="3298" max="3298" width="6.7109375" style="10" customWidth="1"/>
    <col min="3299" max="3299" width="38" style="10" customWidth="1"/>
    <col min="3300" max="3300" width="10.140625" style="10" customWidth="1"/>
    <col min="3301" max="3301" width="10.85546875" style="10" customWidth="1"/>
    <col min="3302" max="3306" width="10.42578125" style="10" customWidth="1"/>
    <col min="3307" max="3307" width="11.85546875" style="10" customWidth="1"/>
    <col min="3308" max="3312" width="10.42578125" style="10" customWidth="1"/>
    <col min="3313" max="3313" width="12.140625" style="10" customWidth="1"/>
    <col min="3314" max="3314" width="11.28515625" style="10" customWidth="1"/>
    <col min="3315" max="3553" width="9.140625" style="10"/>
    <col min="3554" max="3554" width="6.7109375" style="10" customWidth="1"/>
    <col min="3555" max="3555" width="38" style="10" customWidth="1"/>
    <col min="3556" max="3556" width="10.140625" style="10" customWidth="1"/>
    <col min="3557" max="3557" width="10.85546875" style="10" customWidth="1"/>
    <col min="3558" max="3562" width="10.42578125" style="10" customWidth="1"/>
    <col min="3563" max="3563" width="11.85546875" style="10" customWidth="1"/>
    <col min="3564" max="3568" width="10.42578125" style="10" customWidth="1"/>
    <col min="3569" max="3569" width="12.140625" style="10" customWidth="1"/>
    <col min="3570" max="3570" width="11.28515625" style="10" customWidth="1"/>
    <col min="3571" max="3809" width="9.140625" style="10"/>
    <col min="3810" max="3810" width="6.7109375" style="10" customWidth="1"/>
    <col min="3811" max="3811" width="38" style="10" customWidth="1"/>
    <col min="3812" max="3812" width="10.140625" style="10" customWidth="1"/>
    <col min="3813" max="3813" width="10.85546875" style="10" customWidth="1"/>
    <col min="3814" max="3818" width="10.42578125" style="10" customWidth="1"/>
    <col min="3819" max="3819" width="11.85546875" style="10" customWidth="1"/>
    <col min="3820" max="3824" width="10.42578125" style="10" customWidth="1"/>
    <col min="3825" max="3825" width="12.140625" style="10" customWidth="1"/>
    <col min="3826" max="3826" width="11.28515625" style="10" customWidth="1"/>
    <col min="3827" max="4065" width="9.140625" style="10"/>
    <col min="4066" max="4066" width="6.7109375" style="10" customWidth="1"/>
    <col min="4067" max="4067" width="38" style="10" customWidth="1"/>
    <col min="4068" max="4068" width="10.140625" style="10" customWidth="1"/>
    <col min="4069" max="4069" width="10.85546875" style="10" customWidth="1"/>
    <col min="4070" max="4074" width="10.42578125" style="10" customWidth="1"/>
    <col min="4075" max="4075" width="11.85546875" style="10" customWidth="1"/>
    <col min="4076" max="4080" width="10.42578125" style="10" customWidth="1"/>
    <col min="4081" max="4081" width="12.140625" style="10" customWidth="1"/>
    <col min="4082" max="4082" width="11.28515625" style="10" customWidth="1"/>
    <col min="4083" max="4321" width="9.140625" style="10"/>
    <col min="4322" max="4322" width="6.7109375" style="10" customWidth="1"/>
    <col min="4323" max="4323" width="38" style="10" customWidth="1"/>
    <col min="4324" max="4324" width="10.140625" style="10" customWidth="1"/>
    <col min="4325" max="4325" width="10.85546875" style="10" customWidth="1"/>
    <col min="4326" max="4330" width="10.42578125" style="10" customWidth="1"/>
    <col min="4331" max="4331" width="11.85546875" style="10" customWidth="1"/>
    <col min="4332" max="4336" width="10.42578125" style="10" customWidth="1"/>
    <col min="4337" max="4337" width="12.140625" style="10" customWidth="1"/>
    <col min="4338" max="4338" width="11.28515625" style="10" customWidth="1"/>
    <col min="4339" max="4577" width="9.140625" style="10"/>
    <col min="4578" max="4578" width="6.7109375" style="10" customWidth="1"/>
    <col min="4579" max="4579" width="38" style="10" customWidth="1"/>
    <col min="4580" max="4580" width="10.140625" style="10" customWidth="1"/>
    <col min="4581" max="4581" width="10.85546875" style="10" customWidth="1"/>
    <col min="4582" max="4586" width="10.42578125" style="10" customWidth="1"/>
    <col min="4587" max="4587" width="11.85546875" style="10" customWidth="1"/>
    <col min="4588" max="4592" width="10.42578125" style="10" customWidth="1"/>
    <col min="4593" max="4593" width="12.140625" style="10" customWidth="1"/>
    <col min="4594" max="4594" width="11.28515625" style="10" customWidth="1"/>
    <col min="4595" max="4833" width="9.140625" style="10"/>
    <col min="4834" max="4834" width="6.7109375" style="10" customWidth="1"/>
    <col min="4835" max="4835" width="38" style="10" customWidth="1"/>
    <col min="4836" max="4836" width="10.140625" style="10" customWidth="1"/>
    <col min="4837" max="4837" width="10.85546875" style="10" customWidth="1"/>
    <col min="4838" max="4842" width="10.42578125" style="10" customWidth="1"/>
    <col min="4843" max="4843" width="11.85546875" style="10" customWidth="1"/>
    <col min="4844" max="4848" width="10.42578125" style="10" customWidth="1"/>
    <col min="4849" max="4849" width="12.140625" style="10" customWidth="1"/>
    <col min="4850" max="4850" width="11.28515625" style="10" customWidth="1"/>
    <col min="4851" max="5089" width="9.140625" style="10"/>
    <col min="5090" max="5090" width="6.7109375" style="10" customWidth="1"/>
    <col min="5091" max="5091" width="38" style="10" customWidth="1"/>
    <col min="5092" max="5092" width="10.140625" style="10" customWidth="1"/>
    <col min="5093" max="5093" width="10.85546875" style="10" customWidth="1"/>
    <col min="5094" max="5098" width="10.42578125" style="10" customWidth="1"/>
    <col min="5099" max="5099" width="11.85546875" style="10" customWidth="1"/>
    <col min="5100" max="5104" width="10.42578125" style="10" customWidth="1"/>
    <col min="5105" max="5105" width="12.140625" style="10" customWidth="1"/>
    <col min="5106" max="5106" width="11.28515625" style="10" customWidth="1"/>
    <col min="5107" max="5345" width="9.140625" style="10"/>
    <col min="5346" max="5346" width="6.7109375" style="10" customWidth="1"/>
    <col min="5347" max="5347" width="38" style="10" customWidth="1"/>
    <col min="5348" max="5348" width="10.140625" style="10" customWidth="1"/>
    <col min="5349" max="5349" width="10.85546875" style="10" customWidth="1"/>
    <col min="5350" max="5354" width="10.42578125" style="10" customWidth="1"/>
    <col min="5355" max="5355" width="11.85546875" style="10" customWidth="1"/>
    <col min="5356" max="5360" width="10.42578125" style="10" customWidth="1"/>
    <col min="5361" max="5361" width="12.140625" style="10" customWidth="1"/>
    <col min="5362" max="5362" width="11.28515625" style="10" customWidth="1"/>
    <col min="5363" max="5601" width="9.140625" style="10"/>
    <col min="5602" max="5602" width="6.7109375" style="10" customWidth="1"/>
    <col min="5603" max="5603" width="38" style="10" customWidth="1"/>
    <col min="5604" max="5604" width="10.140625" style="10" customWidth="1"/>
    <col min="5605" max="5605" width="10.85546875" style="10" customWidth="1"/>
    <col min="5606" max="5610" width="10.42578125" style="10" customWidth="1"/>
    <col min="5611" max="5611" width="11.85546875" style="10" customWidth="1"/>
    <col min="5612" max="5616" width="10.42578125" style="10" customWidth="1"/>
    <col min="5617" max="5617" width="12.140625" style="10" customWidth="1"/>
    <col min="5618" max="5618" width="11.28515625" style="10" customWidth="1"/>
    <col min="5619" max="5857" width="9.140625" style="10"/>
    <col min="5858" max="5858" width="6.7109375" style="10" customWidth="1"/>
    <col min="5859" max="5859" width="38" style="10" customWidth="1"/>
    <col min="5860" max="5860" width="10.140625" style="10" customWidth="1"/>
    <col min="5861" max="5861" width="10.85546875" style="10" customWidth="1"/>
    <col min="5862" max="5866" width="10.42578125" style="10" customWidth="1"/>
    <col min="5867" max="5867" width="11.85546875" style="10" customWidth="1"/>
    <col min="5868" max="5872" width="10.42578125" style="10" customWidth="1"/>
    <col min="5873" max="5873" width="12.140625" style="10" customWidth="1"/>
    <col min="5874" max="5874" width="11.28515625" style="10" customWidth="1"/>
    <col min="5875" max="6113" width="9.140625" style="10"/>
    <col min="6114" max="6114" width="6.7109375" style="10" customWidth="1"/>
    <col min="6115" max="6115" width="38" style="10" customWidth="1"/>
    <col min="6116" max="6116" width="10.140625" style="10" customWidth="1"/>
    <col min="6117" max="6117" width="10.85546875" style="10" customWidth="1"/>
    <col min="6118" max="6122" width="10.42578125" style="10" customWidth="1"/>
    <col min="6123" max="6123" width="11.85546875" style="10" customWidth="1"/>
    <col min="6124" max="6128" width="10.42578125" style="10" customWidth="1"/>
    <col min="6129" max="6129" width="12.140625" style="10" customWidth="1"/>
    <col min="6130" max="6130" width="11.28515625" style="10" customWidth="1"/>
    <col min="6131" max="6369" width="9.140625" style="10"/>
    <col min="6370" max="6370" width="6.7109375" style="10" customWidth="1"/>
    <col min="6371" max="6371" width="38" style="10" customWidth="1"/>
    <col min="6372" max="6372" width="10.140625" style="10" customWidth="1"/>
    <col min="6373" max="6373" width="10.85546875" style="10" customWidth="1"/>
    <col min="6374" max="6378" width="10.42578125" style="10" customWidth="1"/>
    <col min="6379" max="6379" width="11.85546875" style="10" customWidth="1"/>
    <col min="6380" max="6384" width="10.42578125" style="10" customWidth="1"/>
    <col min="6385" max="6385" width="12.140625" style="10" customWidth="1"/>
    <col min="6386" max="6386" width="11.28515625" style="10" customWidth="1"/>
    <col min="6387" max="6625" width="9.140625" style="10"/>
    <col min="6626" max="6626" width="6.7109375" style="10" customWidth="1"/>
    <col min="6627" max="6627" width="38" style="10" customWidth="1"/>
    <col min="6628" max="6628" width="10.140625" style="10" customWidth="1"/>
    <col min="6629" max="6629" width="10.85546875" style="10" customWidth="1"/>
    <col min="6630" max="6634" width="10.42578125" style="10" customWidth="1"/>
    <col min="6635" max="6635" width="11.85546875" style="10" customWidth="1"/>
    <col min="6636" max="6640" width="10.42578125" style="10" customWidth="1"/>
    <col min="6641" max="6641" width="12.140625" style="10" customWidth="1"/>
    <col min="6642" max="6642" width="11.28515625" style="10" customWidth="1"/>
    <col min="6643" max="6881" width="9.140625" style="10"/>
    <col min="6882" max="6882" width="6.7109375" style="10" customWidth="1"/>
    <col min="6883" max="6883" width="38" style="10" customWidth="1"/>
    <col min="6884" max="6884" width="10.140625" style="10" customWidth="1"/>
    <col min="6885" max="6885" width="10.85546875" style="10" customWidth="1"/>
    <col min="6886" max="6890" width="10.42578125" style="10" customWidth="1"/>
    <col min="6891" max="6891" width="11.85546875" style="10" customWidth="1"/>
    <col min="6892" max="6896" width="10.42578125" style="10" customWidth="1"/>
    <col min="6897" max="6897" width="12.140625" style="10" customWidth="1"/>
    <col min="6898" max="6898" width="11.28515625" style="10" customWidth="1"/>
    <col min="6899" max="7137" width="9.140625" style="10"/>
    <col min="7138" max="7138" width="6.7109375" style="10" customWidth="1"/>
    <col min="7139" max="7139" width="38" style="10" customWidth="1"/>
    <col min="7140" max="7140" width="10.140625" style="10" customWidth="1"/>
    <col min="7141" max="7141" width="10.85546875" style="10" customWidth="1"/>
    <col min="7142" max="7146" width="10.42578125" style="10" customWidth="1"/>
    <col min="7147" max="7147" width="11.85546875" style="10" customWidth="1"/>
    <col min="7148" max="7152" width="10.42578125" style="10" customWidth="1"/>
    <col min="7153" max="7153" width="12.140625" style="10" customWidth="1"/>
    <col min="7154" max="7154" width="11.28515625" style="10" customWidth="1"/>
    <col min="7155" max="7393" width="9.140625" style="10"/>
    <col min="7394" max="7394" width="6.7109375" style="10" customWidth="1"/>
    <col min="7395" max="7395" width="38" style="10" customWidth="1"/>
    <col min="7396" max="7396" width="10.140625" style="10" customWidth="1"/>
    <col min="7397" max="7397" width="10.85546875" style="10" customWidth="1"/>
    <col min="7398" max="7402" width="10.42578125" style="10" customWidth="1"/>
    <col min="7403" max="7403" width="11.85546875" style="10" customWidth="1"/>
    <col min="7404" max="7408" width="10.42578125" style="10" customWidth="1"/>
    <col min="7409" max="7409" width="12.140625" style="10" customWidth="1"/>
    <col min="7410" max="7410" width="11.28515625" style="10" customWidth="1"/>
    <col min="7411" max="7649" width="9.140625" style="10"/>
    <col min="7650" max="7650" width="6.7109375" style="10" customWidth="1"/>
    <col min="7651" max="7651" width="38" style="10" customWidth="1"/>
    <col min="7652" max="7652" width="10.140625" style="10" customWidth="1"/>
    <col min="7653" max="7653" width="10.85546875" style="10" customWidth="1"/>
    <col min="7654" max="7658" width="10.42578125" style="10" customWidth="1"/>
    <col min="7659" max="7659" width="11.85546875" style="10" customWidth="1"/>
    <col min="7660" max="7664" width="10.42578125" style="10" customWidth="1"/>
    <col min="7665" max="7665" width="12.140625" style="10" customWidth="1"/>
    <col min="7666" max="7666" width="11.28515625" style="10" customWidth="1"/>
    <col min="7667" max="7905" width="9.140625" style="10"/>
    <col min="7906" max="7906" width="6.7109375" style="10" customWidth="1"/>
    <col min="7907" max="7907" width="38" style="10" customWidth="1"/>
    <col min="7908" max="7908" width="10.140625" style="10" customWidth="1"/>
    <col min="7909" max="7909" width="10.85546875" style="10" customWidth="1"/>
    <col min="7910" max="7914" width="10.42578125" style="10" customWidth="1"/>
    <col min="7915" max="7915" width="11.85546875" style="10" customWidth="1"/>
    <col min="7916" max="7920" width="10.42578125" style="10" customWidth="1"/>
    <col min="7921" max="7921" width="12.140625" style="10" customWidth="1"/>
    <col min="7922" max="7922" width="11.28515625" style="10" customWidth="1"/>
    <col min="7923" max="8161" width="9.140625" style="10"/>
    <col min="8162" max="8162" width="6.7109375" style="10" customWidth="1"/>
    <col min="8163" max="8163" width="38" style="10" customWidth="1"/>
    <col min="8164" max="8164" width="10.140625" style="10" customWidth="1"/>
    <col min="8165" max="8165" width="10.85546875" style="10" customWidth="1"/>
    <col min="8166" max="8170" width="10.42578125" style="10" customWidth="1"/>
    <col min="8171" max="8171" width="11.85546875" style="10" customWidth="1"/>
    <col min="8172" max="8176" width="10.42578125" style="10" customWidth="1"/>
    <col min="8177" max="8177" width="12.140625" style="10" customWidth="1"/>
    <col min="8178" max="8178" width="11.28515625" style="10" customWidth="1"/>
    <col min="8179" max="8417" width="9.140625" style="10"/>
    <col min="8418" max="8418" width="6.7109375" style="10" customWidth="1"/>
    <col min="8419" max="8419" width="38" style="10" customWidth="1"/>
    <col min="8420" max="8420" width="10.140625" style="10" customWidth="1"/>
    <col min="8421" max="8421" width="10.85546875" style="10" customWidth="1"/>
    <col min="8422" max="8426" width="10.42578125" style="10" customWidth="1"/>
    <col min="8427" max="8427" width="11.85546875" style="10" customWidth="1"/>
    <col min="8428" max="8432" width="10.42578125" style="10" customWidth="1"/>
    <col min="8433" max="8433" width="12.140625" style="10" customWidth="1"/>
    <col min="8434" max="8434" width="11.28515625" style="10" customWidth="1"/>
    <col min="8435" max="8673" width="9.140625" style="10"/>
    <col min="8674" max="8674" width="6.7109375" style="10" customWidth="1"/>
    <col min="8675" max="8675" width="38" style="10" customWidth="1"/>
    <col min="8676" max="8676" width="10.140625" style="10" customWidth="1"/>
    <col min="8677" max="8677" width="10.85546875" style="10" customWidth="1"/>
    <col min="8678" max="8682" width="10.42578125" style="10" customWidth="1"/>
    <col min="8683" max="8683" width="11.85546875" style="10" customWidth="1"/>
    <col min="8684" max="8688" width="10.42578125" style="10" customWidth="1"/>
    <col min="8689" max="8689" width="12.140625" style="10" customWidth="1"/>
    <col min="8690" max="8690" width="11.28515625" style="10" customWidth="1"/>
    <col min="8691" max="8929" width="9.140625" style="10"/>
    <col min="8930" max="8930" width="6.7109375" style="10" customWidth="1"/>
    <col min="8931" max="8931" width="38" style="10" customWidth="1"/>
    <col min="8932" max="8932" width="10.140625" style="10" customWidth="1"/>
    <col min="8933" max="8933" width="10.85546875" style="10" customWidth="1"/>
    <col min="8934" max="8938" width="10.42578125" style="10" customWidth="1"/>
    <col min="8939" max="8939" width="11.85546875" style="10" customWidth="1"/>
    <col min="8940" max="8944" width="10.42578125" style="10" customWidth="1"/>
    <col min="8945" max="8945" width="12.140625" style="10" customWidth="1"/>
    <col min="8946" max="8946" width="11.28515625" style="10" customWidth="1"/>
    <col min="8947" max="9185" width="9.140625" style="10"/>
    <col min="9186" max="9186" width="6.7109375" style="10" customWidth="1"/>
    <col min="9187" max="9187" width="38" style="10" customWidth="1"/>
    <col min="9188" max="9188" width="10.140625" style="10" customWidth="1"/>
    <col min="9189" max="9189" width="10.85546875" style="10" customWidth="1"/>
    <col min="9190" max="9194" width="10.42578125" style="10" customWidth="1"/>
    <col min="9195" max="9195" width="11.85546875" style="10" customWidth="1"/>
    <col min="9196" max="9200" width="10.42578125" style="10" customWidth="1"/>
    <col min="9201" max="9201" width="12.140625" style="10" customWidth="1"/>
    <col min="9202" max="9202" width="11.28515625" style="10" customWidth="1"/>
    <col min="9203" max="9441" width="9.140625" style="10"/>
    <col min="9442" max="9442" width="6.7109375" style="10" customWidth="1"/>
    <col min="9443" max="9443" width="38" style="10" customWidth="1"/>
    <col min="9444" max="9444" width="10.140625" style="10" customWidth="1"/>
    <col min="9445" max="9445" width="10.85546875" style="10" customWidth="1"/>
    <col min="9446" max="9450" width="10.42578125" style="10" customWidth="1"/>
    <col min="9451" max="9451" width="11.85546875" style="10" customWidth="1"/>
    <col min="9452" max="9456" width="10.42578125" style="10" customWidth="1"/>
    <col min="9457" max="9457" width="12.140625" style="10" customWidth="1"/>
    <col min="9458" max="9458" width="11.28515625" style="10" customWidth="1"/>
    <col min="9459" max="9697" width="9.140625" style="10"/>
    <col min="9698" max="9698" width="6.7109375" style="10" customWidth="1"/>
    <col min="9699" max="9699" width="38" style="10" customWidth="1"/>
    <col min="9700" max="9700" width="10.140625" style="10" customWidth="1"/>
    <col min="9701" max="9701" width="10.85546875" style="10" customWidth="1"/>
    <col min="9702" max="9706" width="10.42578125" style="10" customWidth="1"/>
    <col min="9707" max="9707" width="11.85546875" style="10" customWidth="1"/>
    <col min="9708" max="9712" width="10.42578125" style="10" customWidth="1"/>
    <col min="9713" max="9713" width="12.140625" style="10" customWidth="1"/>
    <col min="9714" max="9714" width="11.28515625" style="10" customWidth="1"/>
    <col min="9715" max="9953" width="9.140625" style="10"/>
    <col min="9954" max="9954" width="6.7109375" style="10" customWidth="1"/>
    <col min="9955" max="9955" width="38" style="10" customWidth="1"/>
    <col min="9956" max="9956" width="10.140625" style="10" customWidth="1"/>
    <col min="9957" max="9957" width="10.85546875" style="10" customWidth="1"/>
    <col min="9958" max="9962" width="10.42578125" style="10" customWidth="1"/>
    <col min="9963" max="9963" width="11.85546875" style="10" customWidth="1"/>
    <col min="9964" max="9968" width="10.42578125" style="10" customWidth="1"/>
    <col min="9969" max="9969" width="12.140625" style="10" customWidth="1"/>
    <col min="9970" max="9970" width="11.28515625" style="10" customWidth="1"/>
    <col min="9971" max="10209" width="9.140625" style="10"/>
    <col min="10210" max="10210" width="6.7109375" style="10" customWidth="1"/>
    <col min="10211" max="10211" width="38" style="10" customWidth="1"/>
    <col min="10212" max="10212" width="10.140625" style="10" customWidth="1"/>
    <col min="10213" max="10213" width="10.85546875" style="10" customWidth="1"/>
    <col min="10214" max="10218" width="10.42578125" style="10" customWidth="1"/>
    <col min="10219" max="10219" width="11.85546875" style="10" customWidth="1"/>
    <col min="10220" max="10224" width="10.42578125" style="10" customWidth="1"/>
    <col min="10225" max="10225" width="12.140625" style="10" customWidth="1"/>
    <col min="10226" max="10226" width="11.28515625" style="10" customWidth="1"/>
    <col min="10227" max="10465" width="9.140625" style="10"/>
    <col min="10466" max="10466" width="6.7109375" style="10" customWidth="1"/>
    <col min="10467" max="10467" width="38" style="10" customWidth="1"/>
    <col min="10468" max="10468" width="10.140625" style="10" customWidth="1"/>
    <col min="10469" max="10469" width="10.85546875" style="10" customWidth="1"/>
    <col min="10470" max="10474" width="10.42578125" style="10" customWidth="1"/>
    <col min="10475" max="10475" width="11.85546875" style="10" customWidth="1"/>
    <col min="10476" max="10480" width="10.42578125" style="10" customWidth="1"/>
    <col min="10481" max="10481" width="12.140625" style="10" customWidth="1"/>
    <col min="10482" max="10482" width="11.28515625" style="10" customWidth="1"/>
    <col min="10483" max="10721" width="9.140625" style="10"/>
    <col min="10722" max="10722" width="6.7109375" style="10" customWidth="1"/>
    <col min="10723" max="10723" width="38" style="10" customWidth="1"/>
    <col min="10724" max="10724" width="10.140625" style="10" customWidth="1"/>
    <col min="10725" max="10725" width="10.85546875" style="10" customWidth="1"/>
    <col min="10726" max="10730" width="10.42578125" style="10" customWidth="1"/>
    <col min="10731" max="10731" width="11.85546875" style="10" customWidth="1"/>
    <col min="10732" max="10736" width="10.42578125" style="10" customWidth="1"/>
    <col min="10737" max="10737" width="12.140625" style="10" customWidth="1"/>
    <col min="10738" max="10738" width="11.28515625" style="10" customWidth="1"/>
    <col min="10739" max="10977" width="9.140625" style="10"/>
    <col min="10978" max="10978" width="6.7109375" style="10" customWidth="1"/>
    <col min="10979" max="10979" width="38" style="10" customWidth="1"/>
    <col min="10980" max="10980" width="10.140625" style="10" customWidth="1"/>
    <col min="10981" max="10981" width="10.85546875" style="10" customWidth="1"/>
    <col min="10982" max="10986" width="10.42578125" style="10" customWidth="1"/>
    <col min="10987" max="10987" width="11.85546875" style="10" customWidth="1"/>
    <col min="10988" max="10992" width="10.42578125" style="10" customWidth="1"/>
    <col min="10993" max="10993" width="12.140625" style="10" customWidth="1"/>
    <col min="10994" max="10994" width="11.28515625" style="10" customWidth="1"/>
    <col min="10995" max="11233" width="9.140625" style="10"/>
    <col min="11234" max="11234" width="6.7109375" style="10" customWidth="1"/>
    <col min="11235" max="11235" width="38" style="10" customWidth="1"/>
    <col min="11236" max="11236" width="10.140625" style="10" customWidth="1"/>
    <col min="11237" max="11237" width="10.85546875" style="10" customWidth="1"/>
    <col min="11238" max="11242" width="10.42578125" style="10" customWidth="1"/>
    <col min="11243" max="11243" width="11.85546875" style="10" customWidth="1"/>
    <col min="11244" max="11248" width="10.42578125" style="10" customWidth="1"/>
    <col min="11249" max="11249" width="12.140625" style="10" customWidth="1"/>
    <col min="11250" max="11250" width="11.28515625" style="10" customWidth="1"/>
    <col min="11251" max="11489" width="9.140625" style="10"/>
    <col min="11490" max="11490" width="6.7109375" style="10" customWidth="1"/>
    <col min="11491" max="11491" width="38" style="10" customWidth="1"/>
    <col min="11492" max="11492" width="10.140625" style="10" customWidth="1"/>
    <col min="11493" max="11493" width="10.85546875" style="10" customWidth="1"/>
    <col min="11494" max="11498" width="10.42578125" style="10" customWidth="1"/>
    <col min="11499" max="11499" width="11.85546875" style="10" customWidth="1"/>
    <col min="11500" max="11504" width="10.42578125" style="10" customWidth="1"/>
    <col min="11505" max="11505" width="12.140625" style="10" customWidth="1"/>
    <col min="11506" max="11506" width="11.28515625" style="10" customWidth="1"/>
    <col min="11507" max="11745" width="9.140625" style="10"/>
    <col min="11746" max="11746" width="6.7109375" style="10" customWidth="1"/>
    <col min="11747" max="11747" width="38" style="10" customWidth="1"/>
    <col min="11748" max="11748" width="10.140625" style="10" customWidth="1"/>
    <col min="11749" max="11749" width="10.85546875" style="10" customWidth="1"/>
    <col min="11750" max="11754" width="10.42578125" style="10" customWidth="1"/>
    <col min="11755" max="11755" width="11.85546875" style="10" customWidth="1"/>
    <col min="11756" max="11760" width="10.42578125" style="10" customWidth="1"/>
    <col min="11761" max="11761" width="12.140625" style="10" customWidth="1"/>
    <col min="11762" max="11762" width="11.28515625" style="10" customWidth="1"/>
    <col min="11763" max="12001" width="9.140625" style="10"/>
    <col min="12002" max="12002" width="6.7109375" style="10" customWidth="1"/>
    <col min="12003" max="12003" width="38" style="10" customWidth="1"/>
    <col min="12004" max="12004" width="10.140625" style="10" customWidth="1"/>
    <col min="12005" max="12005" width="10.85546875" style="10" customWidth="1"/>
    <col min="12006" max="12010" width="10.42578125" style="10" customWidth="1"/>
    <col min="12011" max="12011" width="11.85546875" style="10" customWidth="1"/>
    <col min="12012" max="12016" width="10.42578125" style="10" customWidth="1"/>
    <col min="12017" max="12017" width="12.140625" style="10" customWidth="1"/>
    <col min="12018" max="12018" width="11.28515625" style="10" customWidth="1"/>
    <col min="12019" max="12257" width="9.140625" style="10"/>
    <col min="12258" max="12258" width="6.7109375" style="10" customWidth="1"/>
    <col min="12259" max="12259" width="38" style="10" customWidth="1"/>
    <col min="12260" max="12260" width="10.140625" style="10" customWidth="1"/>
    <col min="12261" max="12261" width="10.85546875" style="10" customWidth="1"/>
    <col min="12262" max="12266" width="10.42578125" style="10" customWidth="1"/>
    <col min="12267" max="12267" width="11.85546875" style="10" customWidth="1"/>
    <col min="12268" max="12272" width="10.42578125" style="10" customWidth="1"/>
    <col min="12273" max="12273" width="12.140625" style="10" customWidth="1"/>
    <col min="12274" max="12274" width="11.28515625" style="10" customWidth="1"/>
    <col min="12275" max="12513" width="9.140625" style="10"/>
    <col min="12514" max="12514" width="6.7109375" style="10" customWidth="1"/>
    <col min="12515" max="12515" width="38" style="10" customWidth="1"/>
    <col min="12516" max="12516" width="10.140625" style="10" customWidth="1"/>
    <col min="12517" max="12517" width="10.85546875" style="10" customWidth="1"/>
    <col min="12518" max="12522" width="10.42578125" style="10" customWidth="1"/>
    <col min="12523" max="12523" width="11.85546875" style="10" customWidth="1"/>
    <col min="12524" max="12528" width="10.42578125" style="10" customWidth="1"/>
    <col min="12529" max="12529" width="12.140625" style="10" customWidth="1"/>
    <col min="12530" max="12530" width="11.28515625" style="10" customWidth="1"/>
    <col min="12531" max="12769" width="9.140625" style="10"/>
    <col min="12770" max="12770" width="6.7109375" style="10" customWidth="1"/>
    <col min="12771" max="12771" width="38" style="10" customWidth="1"/>
    <col min="12772" max="12772" width="10.140625" style="10" customWidth="1"/>
    <col min="12773" max="12773" width="10.85546875" style="10" customWidth="1"/>
    <col min="12774" max="12778" width="10.42578125" style="10" customWidth="1"/>
    <col min="12779" max="12779" width="11.85546875" style="10" customWidth="1"/>
    <col min="12780" max="12784" width="10.42578125" style="10" customWidth="1"/>
    <col min="12785" max="12785" width="12.140625" style="10" customWidth="1"/>
    <col min="12786" max="12786" width="11.28515625" style="10" customWidth="1"/>
    <col min="12787" max="13025" width="9.140625" style="10"/>
    <col min="13026" max="13026" width="6.7109375" style="10" customWidth="1"/>
    <col min="13027" max="13027" width="38" style="10" customWidth="1"/>
    <col min="13028" max="13028" width="10.140625" style="10" customWidth="1"/>
    <col min="13029" max="13029" width="10.85546875" style="10" customWidth="1"/>
    <col min="13030" max="13034" width="10.42578125" style="10" customWidth="1"/>
    <col min="13035" max="13035" width="11.85546875" style="10" customWidth="1"/>
    <col min="13036" max="13040" width="10.42578125" style="10" customWidth="1"/>
    <col min="13041" max="13041" width="12.140625" style="10" customWidth="1"/>
    <col min="13042" max="13042" width="11.28515625" style="10" customWidth="1"/>
    <col min="13043" max="13281" width="9.140625" style="10"/>
    <col min="13282" max="13282" width="6.7109375" style="10" customWidth="1"/>
    <col min="13283" max="13283" width="38" style="10" customWidth="1"/>
    <col min="13284" max="13284" width="10.140625" style="10" customWidth="1"/>
    <col min="13285" max="13285" width="10.85546875" style="10" customWidth="1"/>
    <col min="13286" max="13290" width="10.42578125" style="10" customWidth="1"/>
    <col min="13291" max="13291" width="11.85546875" style="10" customWidth="1"/>
    <col min="13292" max="13296" width="10.42578125" style="10" customWidth="1"/>
    <col min="13297" max="13297" width="12.140625" style="10" customWidth="1"/>
    <col min="13298" max="13298" width="11.28515625" style="10" customWidth="1"/>
    <col min="13299" max="13537" width="9.140625" style="10"/>
    <col min="13538" max="13538" width="6.7109375" style="10" customWidth="1"/>
    <col min="13539" max="13539" width="38" style="10" customWidth="1"/>
    <col min="13540" max="13540" width="10.140625" style="10" customWidth="1"/>
    <col min="13541" max="13541" width="10.85546875" style="10" customWidth="1"/>
    <col min="13542" max="13546" width="10.42578125" style="10" customWidth="1"/>
    <col min="13547" max="13547" width="11.85546875" style="10" customWidth="1"/>
    <col min="13548" max="13552" width="10.42578125" style="10" customWidth="1"/>
    <col min="13553" max="13553" width="12.140625" style="10" customWidth="1"/>
    <col min="13554" max="13554" width="11.28515625" style="10" customWidth="1"/>
    <col min="13555" max="13793" width="9.140625" style="10"/>
    <col min="13794" max="13794" width="6.7109375" style="10" customWidth="1"/>
    <col min="13795" max="13795" width="38" style="10" customWidth="1"/>
    <col min="13796" max="13796" width="10.140625" style="10" customWidth="1"/>
    <col min="13797" max="13797" width="10.85546875" style="10" customWidth="1"/>
    <col min="13798" max="13802" width="10.42578125" style="10" customWidth="1"/>
    <col min="13803" max="13803" width="11.85546875" style="10" customWidth="1"/>
    <col min="13804" max="13808" width="10.42578125" style="10" customWidth="1"/>
    <col min="13809" max="13809" width="12.140625" style="10" customWidth="1"/>
    <col min="13810" max="13810" width="11.28515625" style="10" customWidth="1"/>
    <col min="13811" max="14049" width="9.140625" style="10"/>
    <col min="14050" max="14050" width="6.7109375" style="10" customWidth="1"/>
    <col min="14051" max="14051" width="38" style="10" customWidth="1"/>
    <col min="14052" max="14052" width="10.140625" style="10" customWidth="1"/>
    <col min="14053" max="14053" width="10.85546875" style="10" customWidth="1"/>
    <col min="14054" max="14058" width="10.42578125" style="10" customWidth="1"/>
    <col min="14059" max="14059" width="11.85546875" style="10" customWidth="1"/>
    <col min="14060" max="14064" width="10.42578125" style="10" customWidth="1"/>
    <col min="14065" max="14065" width="12.140625" style="10" customWidth="1"/>
    <col min="14066" max="14066" width="11.28515625" style="10" customWidth="1"/>
    <col min="14067" max="14305" width="9.140625" style="10"/>
    <col min="14306" max="14306" width="6.7109375" style="10" customWidth="1"/>
    <col min="14307" max="14307" width="38" style="10" customWidth="1"/>
    <col min="14308" max="14308" width="10.140625" style="10" customWidth="1"/>
    <col min="14309" max="14309" width="10.85546875" style="10" customWidth="1"/>
    <col min="14310" max="14314" width="10.42578125" style="10" customWidth="1"/>
    <col min="14315" max="14315" width="11.85546875" style="10" customWidth="1"/>
    <col min="14316" max="14320" width="10.42578125" style="10" customWidth="1"/>
    <col min="14321" max="14321" width="12.140625" style="10" customWidth="1"/>
    <col min="14322" max="14322" width="11.28515625" style="10" customWidth="1"/>
    <col min="14323" max="14561" width="9.140625" style="10"/>
    <col min="14562" max="14562" width="6.7109375" style="10" customWidth="1"/>
    <col min="14563" max="14563" width="38" style="10" customWidth="1"/>
    <col min="14564" max="14564" width="10.140625" style="10" customWidth="1"/>
    <col min="14565" max="14565" width="10.85546875" style="10" customWidth="1"/>
    <col min="14566" max="14570" width="10.42578125" style="10" customWidth="1"/>
    <col min="14571" max="14571" width="11.85546875" style="10" customWidth="1"/>
    <col min="14572" max="14576" width="10.42578125" style="10" customWidth="1"/>
    <col min="14577" max="14577" width="12.140625" style="10" customWidth="1"/>
    <col min="14578" max="14578" width="11.28515625" style="10" customWidth="1"/>
    <col min="14579" max="14817" width="9.140625" style="10"/>
    <col min="14818" max="14818" width="6.7109375" style="10" customWidth="1"/>
    <col min="14819" max="14819" width="38" style="10" customWidth="1"/>
    <col min="14820" max="14820" width="10.140625" style="10" customWidth="1"/>
    <col min="14821" max="14821" width="10.85546875" style="10" customWidth="1"/>
    <col min="14822" max="14826" width="10.42578125" style="10" customWidth="1"/>
    <col min="14827" max="14827" width="11.85546875" style="10" customWidth="1"/>
    <col min="14828" max="14832" width="10.42578125" style="10" customWidth="1"/>
    <col min="14833" max="14833" width="12.140625" style="10" customWidth="1"/>
    <col min="14834" max="14834" width="11.28515625" style="10" customWidth="1"/>
    <col min="14835" max="15073" width="9.140625" style="10"/>
    <col min="15074" max="15074" width="6.7109375" style="10" customWidth="1"/>
    <col min="15075" max="15075" width="38" style="10" customWidth="1"/>
    <col min="15076" max="15076" width="10.140625" style="10" customWidth="1"/>
    <col min="15077" max="15077" width="10.85546875" style="10" customWidth="1"/>
    <col min="15078" max="15082" width="10.42578125" style="10" customWidth="1"/>
    <col min="15083" max="15083" width="11.85546875" style="10" customWidth="1"/>
    <col min="15084" max="15088" width="10.42578125" style="10" customWidth="1"/>
    <col min="15089" max="15089" width="12.140625" style="10" customWidth="1"/>
    <col min="15090" max="15090" width="11.28515625" style="10" customWidth="1"/>
    <col min="15091" max="15329" width="9.140625" style="10"/>
    <col min="15330" max="15330" width="6.7109375" style="10" customWidth="1"/>
    <col min="15331" max="15331" width="38" style="10" customWidth="1"/>
    <col min="15332" max="15332" width="10.140625" style="10" customWidth="1"/>
    <col min="15333" max="15333" width="10.85546875" style="10" customWidth="1"/>
    <col min="15334" max="15338" width="10.42578125" style="10" customWidth="1"/>
    <col min="15339" max="15339" width="11.85546875" style="10" customWidth="1"/>
    <col min="15340" max="15344" width="10.42578125" style="10" customWidth="1"/>
    <col min="15345" max="15345" width="12.140625" style="10" customWidth="1"/>
    <col min="15346" max="15346" width="11.28515625" style="10" customWidth="1"/>
    <col min="15347" max="15585" width="9.140625" style="10"/>
    <col min="15586" max="15586" width="6.7109375" style="10" customWidth="1"/>
    <col min="15587" max="15587" width="38" style="10" customWidth="1"/>
    <col min="15588" max="15588" width="10.140625" style="10" customWidth="1"/>
    <col min="15589" max="15589" width="10.85546875" style="10" customWidth="1"/>
    <col min="15590" max="15594" width="10.42578125" style="10" customWidth="1"/>
    <col min="15595" max="15595" width="11.85546875" style="10" customWidth="1"/>
    <col min="15596" max="15600" width="10.42578125" style="10" customWidth="1"/>
    <col min="15601" max="15601" width="12.140625" style="10" customWidth="1"/>
    <col min="15602" max="15602" width="11.28515625" style="10" customWidth="1"/>
    <col min="15603" max="15841" width="9.140625" style="10"/>
    <col min="15842" max="15842" width="6.7109375" style="10" customWidth="1"/>
    <col min="15843" max="15843" width="38" style="10" customWidth="1"/>
    <col min="15844" max="15844" width="10.140625" style="10" customWidth="1"/>
    <col min="15845" max="15845" width="10.85546875" style="10" customWidth="1"/>
    <col min="15846" max="15850" width="10.42578125" style="10" customWidth="1"/>
    <col min="15851" max="15851" width="11.85546875" style="10" customWidth="1"/>
    <col min="15852" max="15856" width="10.42578125" style="10" customWidth="1"/>
    <col min="15857" max="15857" width="12.140625" style="10" customWidth="1"/>
    <col min="15858" max="15858" width="11.28515625" style="10" customWidth="1"/>
    <col min="15859" max="16097" width="9.140625" style="10"/>
    <col min="16098" max="16098" width="6.7109375" style="10" customWidth="1"/>
    <col min="16099" max="16099" width="38" style="10" customWidth="1"/>
    <col min="16100" max="16100" width="10.140625" style="10" customWidth="1"/>
    <col min="16101" max="16101" width="10.85546875" style="10" customWidth="1"/>
    <col min="16102" max="16106" width="10.42578125" style="10" customWidth="1"/>
    <col min="16107" max="16107" width="11.85546875" style="10" customWidth="1"/>
    <col min="16108" max="16112" width="10.42578125" style="10" customWidth="1"/>
    <col min="16113" max="16113" width="12.140625" style="10" customWidth="1"/>
    <col min="16114" max="16114" width="11.28515625" style="10" customWidth="1"/>
    <col min="16115" max="16384" width="9.140625" style="10"/>
  </cols>
  <sheetData>
    <row r="1" spans="1:6" ht="12.75" customHeight="1" x14ac:dyDescent="0.25">
      <c r="A1" s="53"/>
      <c r="C1" s="53"/>
      <c r="D1" s="43"/>
      <c r="E1" s="450" t="s">
        <v>223</v>
      </c>
      <c r="F1" s="450"/>
    </row>
    <row r="2" spans="1:6" ht="42" customHeight="1" x14ac:dyDescent="0.25">
      <c r="A2" s="53"/>
      <c r="C2" s="53"/>
      <c r="D2" s="43"/>
      <c r="E2" s="450" t="s">
        <v>314</v>
      </c>
      <c r="F2" s="450"/>
    </row>
    <row r="3" spans="1:6" ht="12.75" customHeight="1" x14ac:dyDescent="0.25">
      <c r="A3" s="53"/>
      <c r="C3" s="53"/>
      <c r="D3" s="43"/>
      <c r="E3" s="450" t="s">
        <v>221</v>
      </c>
      <c r="F3" s="450"/>
    </row>
    <row r="4" spans="1:6" ht="15" customHeight="1" x14ac:dyDescent="0.25">
      <c r="A4" s="53"/>
      <c r="C4" s="53"/>
      <c r="D4" s="43"/>
      <c r="E4" s="450" t="s">
        <v>222</v>
      </c>
      <c r="F4" s="450"/>
    </row>
    <row r="5" spans="1:6" ht="12.75" customHeight="1" x14ac:dyDescent="0.25">
      <c r="A5" s="53"/>
      <c r="C5" s="53"/>
      <c r="F5" s="38"/>
    </row>
    <row r="6" spans="1:6" ht="15" customHeight="1" x14ac:dyDescent="0.25">
      <c r="A6" s="1"/>
      <c r="B6" s="1"/>
      <c r="C6" s="1"/>
      <c r="D6" s="39"/>
      <c r="E6" s="45"/>
      <c r="F6" s="38"/>
    </row>
    <row r="7" spans="1:6" ht="37.5" customHeight="1" x14ac:dyDescent="0.25">
      <c r="A7" s="451" t="s">
        <v>211</v>
      </c>
      <c r="B7" s="451"/>
      <c r="C7" s="451"/>
      <c r="D7" s="451"/>
      <c r="E7" s="451"/>
      <c r="F7" s="451"/>
    </row>
    <row r="8" spans="1:6" ht="18" customHeight="1" x14ac:dyDescent="0.25">
      <c r="A8" s="452" t="s">
        <v>939</v>
      </c>
      <c r="B8" s="452"/>
      <c r="C8" s="452"/>
      <c r="D8" s="452"/>
      <c r="E8" s="452"/>
      <c r="F8" s="452"/>
    </row>
    <row r="9" spans="1:6" ht="15.75" customHeight="1" x14ac:dyDescent="0.25">
      <c r="A9" s="11"/>
      <c r="B9" s="11"/>
      <c r="C9" s="23"/>
      <c r="D9" s="40"/>
      <c r="E9" s="46"/>
    </row>
    <row r="10" spans="1:6" s="8" customFormat="1" ht="92.25" customHeight="1" x14ac:dyDescent="0.25">
      <c r="A10" s="24" t="s">
        <v>2</v>
      </c>
      <c r="B10" s="24" t="s">
        <v>133</v>
      </c>
      <c r="C10" s="24" t="s">
        <v>5</v>
      </c>
      <c r="D10" s="42" t="s">
        <v>317</v>
      </c>
      <c r="E10" s="41" t="s">
        <v>942</v>
      </c>
      <c r="F10" s="163" t="s">
        <v>213</v>
      </c>
    </row>
    <row r="11" spans="1:6" s="8" customFormat="1" x14ac:dyDescent="0.25">
      <c r="A11" s="24">
        <v>1</v>
      </c>
      <c r="B11" s="25">
        <v>2</v>
      </c>
      <c r="C11" s="24">
        <v>3</v>
      </c>
      <c r="D11" s="42">
        <v>4</v>
      </c>
      <c r="E11" s="41">
        <v>5</v>
      </c>
      <c r="F11" s="163" t="s">
        <v>203</v>
      </c>
    </row>
    <row r="12" spans="1:6" ht="28.5" customHeight="1" x14ac:dyDescent="0.25">
      <c r="A12" s="30" t="s">
        <v>6</v>
      </c>
      <c r="B12" s="27" t="s">
        <v>101</v>
      </c>
      <c r="C12" s="30" t="s">
        <v>99</v>
      </c>
      <c r="D12" s="13">
        <f>D13+D22+D29+D30+D32</f>
        <v>2102091</v>
      </c>
      <c r="E12" s="13">
        <f>E13+E22+E29+E30+E32</f>
        <v>1404748</v>
      </c>
      <c r="F12" s="108">
        <f>E12/D12-1</f>
        <v>-0.33</v>
      </c>
    </row>
    <row r="13" spans="1:6" ht="16.5" customHeight="1" x14ac:dyDescent="0.25">
      <c r="A13" s="30" t="s">
        <v>0</v>
      </c>
      <c r="B13" s="27" t="s">
        <v>55</v>
      </c>
      <c r="C13" s="30" t="s">
        <v>102</v>
      </c>
      <c r="D13" s="13">
        <f>SUM(D14:D18)</f>
        <v>1803475</v>
      </c>
      <c r="E13" s="13">
        <f>SUM(E14:E18)</f>
        <v>1216395</v>
      </c>
      <c r="F13" s="108">
        <f>E13/D13-1</f>
        <v>-0.33</v>
      </c>
    </row>
    <row r="14" spans="1:6" ht="15.75" customHeight="1" x14ac:dyDescent="0.25">
      <c r="A14" s="14" t="s">
        <v>46</v>
      </c>
      <c r="B14" s="52" t="s">
        <v>94</v>
      </c>
      <c r="C14" s="30" t="s">
        <v>102</v>
      </c>
      <c r="D14" s="15">
        <v>10044</v>
      </c>
      <c r="E14" s="15">
        <f>83931-70489</f>
        <v>13442</v>
      </c>
      <c r="F14" s="54">
        <f>E14/D14-1</f>
        <v>0.34</v>
      </c>
    </row>
    <row r="15" spans="1:6" x14ac:dyDescent="0.25">
      <c r="A15" s="14" t="s">
        <v>56</v>
      </c>
      <c r="B15" s="52" t="s">
        <v>208</v>
      </c>
      <c r="C15" s="30"/>
      <c r="D15" s="15">
        <v>0</v>
      </c>
      <c r="E15" s="15">
        <v>0</v>
      </c>
      <c r="F15" s="54">
        <v>0</v>
      </c>
    </row>
    <row r="16" spans="1:6" x14ac:dyDescent="0.25">
      <c r="A16" s="14" t="s">
        <v>98</v>
      </c>
      <c r="B16" s="52" t="s">
        <v>209</v>
      </c>
      <c r="C16" s="30" t="s">
        <v>102</v>
      </c>
      <c r="D16" s="15">
        <v>133</v>
      </c>
      <c r="E16" s="15">
        <f>242-180</f>
        <v>62</v>
      </c>
      <c r="F16" s="54">
        <f>E16/D16-1</f>
        <v>-0.53</v>
      </c>
    </row>
    <row r="17" spans="1:6" x14ac:dyDescent="0.25">
      <c r="A17" s="14" t="s">
        <v>58</v>
      </c>
      <c r="B17" s="52" t="s">
        <v>52</v>
      </c>
      <c r="C17" s="30" t="s">
        <v>102</v>
      </c>
      <c r="D17" s="15">
        <v>1674594</v>
      </c>
      <c r="E17" s="15">
        <f>2165712-1283706</f>
        <v>882006</v>
      </c>
      <c r="F17" s="54">
        <f>E17/D17-1</f>
        <v>-0.47</v>
      </c>
    </row>
    <row r="18" spans="1:6" ht="30" x14ac:dyDescent="0.25">
      <c r="A18" s="14" t="s">
        <v>59</v>
      </c>
      <c r="B18" s="52" t="s">
        <v>60</v>
      </c>
      <c r="C18" s="30" t="s">
        <v>102</v>
      </c>
      <c r="D18" s="15">
        <v>118704</v>
      </c>
      <c r="E18" s="15">
        <f>SUM(E19:E21)</f>
        <v>320885</v>
      </c>
      <c r="F18" s="54">
        <f>E18/D18-1</f>
        <v>1.7</v>
      </c>
    </row>
    <row r="19" spans="1:6" s="19" customFormat="1" x14ac:dyDescent="0.25">
      <c r="A19" s="16" t="s">
        <v>205</v>
      </c>
      <c r="B19" s="28" t="s">
        <v>103</v>
      </c>
      <c r="C19" s="17" t="s">
        <v>102</v>
      </c>
      <c r="D19" s="18"/>
      <c r="E19" s="18">
        <f>702954-390094</f>
        <v>312860</v>
      </c>
      <c r="F19" s="115">
        <v>0</v>
      </c>
    </row>
    <row r="20" spans="1:6" s="19" customFormat="1" x14ac:dyDescent="0.25">
      <c r="A20" s="16" t="s">
        <v>206</v>
      </c>
      <c r="B20" s="28" t="s">
        <v>104</v>
      </c>
      <c r="C20" s="17" t="s">
        <v>102</v>
      </c>
      <c r="D20" s="18"/>
      <c r="E20" s="18">
        <f>1651-1051</f>
        <v>600</v>
      </c>
      <c r="F20" s="115">
        <v>0</v>
      </c>
    </row>
    <row r="21" spans="1:6" s="19" customFormat="1" x14ac:dyDescent="0.25">
      <c r="A21" s="16" t="s">
        <v>207</v>
      </c>
      <c r="B21" s="28" t="s">
        <v>105</v>
      </c>
      <c r="C21" s="17" t="s">
        <v>102</v>
      </c>
      <c r="D21" s="18"/>
      <c r="E21" s="18">
        <f>18125-10700</f>
        <v>7425</v>
      </c>
      <c r="F21" s="115">
        <v>0</v>
      </c>
    </row>
    <row r="22" spans="1:6" ht="15.75" customHeight="1" x14ac:dyDescent="0.25">
      <c r="A22" s="30" t="s">
        <v>1</v>
      </c>
      <c r="B22" s="27" t="s">
        <v>95</v>
      </c>
      <c r="C22" s="30" t="s">
        <v>102</v>
      </c>
      <c r="D22" s="13">
        <f>D23+D24</f>
        <v>227448</v>
      </c>
      <c r="E22" s="13">
        <f>E23+E24</f>
        <v>110322</v>
      </c>
      <c r="F22" s="108">
        <f t="shared" ref="F22:F71" si="0">E22/D22-1</f>
        <v>-0.51</v>
      </c>
    </row>
    <row r="23" spans="1:6" ht="30" x14ac:dyDescent="0.25">
      <c r="A23" s="14" t="s">
        <v>106</v>
      </c>
      <c r="B23" s="52" t="s">
        <v>107</v>
      </c>
      <c r="C23" s="30" t="s">
        <v>102</v>
      </c>
      <c r="D23" s="15">
        <v>204908</v>
      </c>
      <c r="E23" s="15">
        <f>224560-126661</f>
        <v>97899</v>
      </c>
      <c r="F23" s="54">
        <f t="shared" si="0"/>
        <v>-0.52</v>
      </c>
    </row>
    <row r="24" spans="1:6" ht="16.5" customHeight="1" x14ac:dyDescent="0.25">
      <c r="A24" s="14" t="s">
        <v>47</v>
      </c>
      <c r="B24" s="52" t="s">
        <v>62</v>
      </c>
      <c r="C24" s="30" t="s">
        <v>102</v>
      </c>
      <c r="D24" s="15">
        <v>22540</v>
      </c>
      <c r="E24" s="15">
        <f>E25+E26+E27+E28</f>
        <v>12423</v>
      </c>
      <c r="F24" s="54">
        <f t="shared" si="0"/>
        <v>-0.45</v>
      </c>
    </row>
    <row r="25" spans="1:6" s="19" customFormat="1" ht="16.5" customHeight="1" x14ac:dyDescent="0.25">
      <c r="A25" s="16"/>
      <c r="B25" s="48" t="s">
        <v>216</v>
      </c>
      <c r="C25" s="16" t="s">
        <v>102</v>
      </c>
      <c r="D25" s="82">
        <v>10058</v>
      </c>
      <c r="E25" s="18">
        <f>13185-7244</f>
        <v>5941</v>
      </c>
      <c r="F25" s="54">
        <f t="shared" si="0"/>
        <v>-0.41</v>
      </c>
    </row>
    <row r="26" spans="1:6" s="35" customFormat="1" ht="16.5" customHeight="1" x14ac:dyDescent="0.25">
      <c r="A26" s="16"/>
      <c r="B26" s="48" t="s">
        <v>217</v>
      </c>
      <c r="C26" s="16" t="s">
        <v>102</v>
      </c>
      <c r="D26" s="82">
        <v>5029</v>
      </c>
      <c r="E26" s="18">
        <f>6074-3622</f>
        <v>2452</v>
      </c>
      <c r="F26" s="54">
        <f t="shared" si="0"/>
        <v>-0.51</v>
      </c>
    </row>
    <row r="27" spans="1:6" s="19" customFormat="1" ht="30" x14ac:dyDescent="0.25">
      <c r="A27" s="16"/>
      <c r="B27" s="48" t="s">
        <v>219</v>
      </c>
      <c r="C27" s="16" t="s">
        <v>102</v>
      </c>
      <c r="D27" s="82">
        <v>2483</v>
      </c>
      <c r="E27" s="18">
        <f>3063-1788</f>
        <v>1275</v>
      </c>
      <c r="F27" s="54">
        <f t="shared" si="0"/>
        <v>-0.49</v>
      </c>
    </row>
    <row r="28" spans="1:6" s="19" customFormat="1" ht="27.75" customHeight="1" x14ac:dyDescent="0.25">
      <c r="A28" s="16"/>
      <c r="B28" s="48" t="s">
        <v>218</v>
      </c>
      <c r="C28" s="16" t="s">
        <v>102</v>
      </c>
      <c r="D28" s="82">
        <v>4970</v>
      </c>
      <c r="E28" s="18">
        <f>6335-3580</f>
        <v>2755</v>
      </c>
      <c r="F28" s="54">
        <f t="shared" si="0"/>
        <v>-0.45</v>
      </c>
    </row>
    <row r="29" spans="1:6" x14ac:dyDescent="0.25">
      <c r="A29" s="30" t="s">
        <v>54</v>
      </c>
      <c r="B29" s="27" t="s">
        <v>18</v>
      </c>
      <c r="C29" s="30" t="s">
        <v>102</v>
      </c>
      <c r="D29" s="13">
        <v>54390</v>
      </c>
      <c r="E29" s="13">
        <f>47937-23721</f>
        <v>24216</v>
      </c>
      <c r="F29" s="108">
        <f t="shared" si="0"/>
        <v>-0.55000000000000004</v>
      </c>
    </row>
    <row r="30" spans="1:6" x14ac:dyDescent="0.25">
      <c r="A30" s="30" t="s">
        <v>53</v>
      </c>
      <c r="B30" s="27" t="s">
        <v>108</v>
      </c>
      <c r="C30" s="30" t="s">
        <v>102</v>
      </c>
      <c r="D30" s="13">
        <v>0</v>
      </c>
      <c r="E30" s="13">
        <v>0</v>
      </c>
      <c r="F30" s="54">
        <v>0</v>
      </c>
    </row>
    <row r="31" spans="1:6" ht="27.75" customHeight="1" x14ac:dyDescent="0.25">
      <c r="A31" s="14" t="s">
        <v>109</v>
      </c>
      <c r="B31" s="52" t="s">
        <v>110</v>
      </c>
      <c r="C31" s="30" t="s">
        <v>102</v>
      </c>
      <c r="D31" s="15">
        <v>0</v>
      </c>
      <c r="E31" s="15">
        <v>0</v>
      </c>
      <c r="F31" s="54">
        <v>0</v>
      </c>
    </row>
    <row r="32" spans="1:6" x14ac:dyDescent="0.25">
      <c r="A32" s="30" t="s">
        <v>63</v>
      </c>
      <c r="B32" s="20" t="s">
        <v>97</v>
      </c>
      <c r="C32" s="30" t="s">
        <v>102</v>
      </c>
      <c r="D32" s="13">
        <f>SUM(D33:D36)</f>
        <v>16778</v>
      </c>
      <c r="E32" s="13">
        <f>SUM(E33:E36)</f>
        <v>53815</v>
      </c>
      <c r="F32" s="108">
        <f>E32/D32-1</f>
        <v>2.21</v>
      </c>
    </row>
    <row r="33" spans="1:6" ht="29.25" customHeight="1" x14ac:dyDescent="0.25">
      <c r="A33" s="14" t="s">
        <v>64</v>
      </c>
      <c r="B33" s="52" t="s">
        <v>21</v>
      </c>
      <c r="C33" s="14" t="s">
        <v>102</v>
      </c>
      <c r="D33" s="15">
        <v>7399</v>
      </c>
      <c r="E33" s="15">
        <f>25270-13463</f>
        <v>11807</v>
      </c>
      <c r="F33" s="54">
        <f t="shared" si="0"/>
        <v>0.6</v>
      </c>
    </row>
    <row r="34" spans="1:6" x14ac:dyDescent="0.25">
      <c r="A34" s="14" t="s">
        <v>65</v>
      </c>
      <c r="B34" s="52" t="s">
        <v>111</v>
      </c>
      <c r="C34" s="30" t="s">
        <v>102</v>
      </c>
      <c r="D34" s="15">
        <v>716</v>
      </c>
      <c r="E34" s="15">
        <f>2740-1564</f>
        <v>1176</v>
      </c>
      <c r="F34" s="54">
        <f t="shared" si="0"/>
        <v>0.64</v>
      </c>
    </row>
    <row r="35" spans="1:6" ht="18" customHeight="1" x14ac:dyDescent="0.25">
      <c r="A35" s="14" t="s">
        <v>66</v>
      </c>
      <c r="B35" s="21" t="s">
        <v>112</v>
      </c>
      <c r="C35" s="30" t="s">
        <v>102</v>
      </c>
      <c r="D35" s="15">
        <v>8663</v>
      </c>
      <c r="E35" s="15">
        <f>121862-81071</f>
        <v>40791</v>
      </c>
      <c r="F35" s="54">
        <f t="shared" si="0"/>
        <v>3.71</v>
      </c>
    </row>
    <row r="36" spans="1:6" ht="18.75" customHeight="1" x14ac:dyDescent="0.25">
      <c r="A36" s="14" t="s">
        <v>67</v>
      </c>
      <c r="B36" s="21" t="s">
        <v>113</v>
      </c>
      <c r="C36" s="30"/>
      <c r="D36" s="15">
        <v>0</v>
      </c>
      <c r="E36" s="15">
        <f>48-7</f>
        <v>41</v>
      </c>
      <c r="F36" s="54">
        <v>0</v>
      </c>
    </row>
    <row r="37" spans="1:6" x14ac:dyDescent="0.25">
      <c r="A37" s="30" t="s">
        <v>23</v>
      </c>
      <c r="B37" s="27" t="s">
        <v>114</v>
      </c>
      <c r="C37" s="30" t="s">
        <v>102</v>
      </c>
      <c r="D37" s="13">
        <f>D38+D63</f>
        <v>257355</v>
      </c>
      <c r="E37" s="13">
        <f>E38</f>
        <v>112849</v>
      </c>
      <c r="F37" s="108">
        <f t="shared" si="0"/>
        <v>-0.56000000000000005</v>
      </c>
    </row>
    <row r="38" spans="1:6" ht="28.5" x14ac:dyDescent="0.25">
      <c r="A38" s="30" t="s">
        <v>68</v>
      </c>
      <c r="B38" s="27" t="s">
        <v>115</v>
      </c>
      <c r="C38" s="30" t="s">
        <v>102</v>
      </c>
      <c r="D38" s="13">
        <f>SUM(D39:D45)-D41-D42-D43</f>
        <v>257355</v>
      </c>
      <c r="E38" s="13">
        <f>E39+E40+E44+E45</f>
        <v>112849</v>
      </c>
      <c r="F38" s="108">
        <f t="shared" si="0"/>
        <v>-0.56000000000000005</v>
      </c>
    </row>
    <row r="39" spans="1:6" ht="30" x14ac:dyDescent="0.25">
      <c r="A39" s="14" t="s">
        <v>69</v>
      </c>
      <c r="B39" s="52" t="s">
        <v>116</v>
      </c>
      <c r="C39" s="30" t="s">
        <v>102</v>
      </c>
      <c r="D39" s="15">
        <v>169957</v>
      </c>
      <c r="E39" s="15">
        <f>37269-22002</f>
        <v>15267</v>
      </c>
      <c r="F39" s="54">
        <f t="shared" si="0"/>
        <v>-0.91</v>
      </c>
    </row>
    <row r="40" spans="1:6" x14ac:dyDescent="0.25">
      <c r="A40" s="14" t="s">
        <v>71</v>
      </c>
      <c r="B40" s="52" t="s">
        <v>62</v>
      </c>
      <c r="C40" s="30" t="s">
        <v>102</v>
      </c>
      <c r="D40" s="15">
        <v>18695</v>
      </c>
      <c r="E40" s="15">
        <f>E41+E42+E43</f>
        <v>1449</v>
      </c>
      <c r="F40" s="54">
        <f t="shared" si="0"/>
        <v>-0.92</v>
      </c>
    </row>
    <row r="41" spans="1:6" s="19" customFormat="1" x14ac:dyDescent="0.25">
      <c r="A41" s="16"/>
      <c r="B41" s="48" t="s">
        <v>216</v>
      </c>
      <c r="C41" s="16" t="s">
        <v>102</v>
      </c>
      <c r="D41" s="82">
        <v>12854</v>
      </c>
      <c r="E41" s="18">
        <f>2525-1457</f>
        <v>1068</v>
      </c>
      <c r="F41" s="115">
        <f t="shared" si="0"/>
        <v>-0.92</v>
      </c>
    </row>
    <row r="42" spans="1:6" s="35" customFormat="1" x14ac:dyDescent="0.25">
      <c r="A42" s="16"/>
      <c r="B42" s="48" t="s">
        <v>217</v>
      </c>
      <c r="C42" s="16" t="s">
        <v>102</v>
      </c>
      <c r="D42" s="82">
        <v>3873</v>
      </c>
      <c r="E42" s="18">
        <f>687-439</f>
        <v>248</v>
      </c>
      <c r="F42" s="115">
        <f t="shared" si="0"/>
        <v>-0.94</v>
      </c>
    </row>
    <row r="43" spans="1:6" s="35" customFormat="1" ht="30" x14ac:dyDescent="0.25">
      <c r="A43" s="16"/>
      <c r="B43" s="48" t="s">
        <v>219</v>
      </c>
      <c r="C43" s="16" t="s">
        <v>102</v>
      </c>
      <c r="D43" s="82">
        <v>1968</v>
      </c>
      <c r="E43" s="18">
        <f>356-223</f>
        <v>133</v>
      </c>
      <c r="F43" s="115">
        <f>E43/D43-1</f>
        <v>-0.93</v>
      </c>
    </row>
    <row r="44" spans="1:6" x14ac:dyDescent="0.25">
      <c r="A44" s="14" t="s">
        <v>72</v>
      </c>
      <c r="B44" s="52" t="s">
        <v>22</v>
      </c>
      <c r="C44" s="30" t="s">
        <v>102</v>
      </c>
      <c r="D44" s="15">
        <v>9287</v>
      </c>
      <c r="E44" s="15">
        <f>5534-3014</f>
        <v>2520</v>
      </c>
      <c r="F44" s="54">
        <f t="shared" si="0"/>
        <v>-0.73</v>
      </c>
    </row>
    <row r="45" spans="1:6" s="19" customFormat="1" x14ac:dyDescent="0.25">
      <c r="A45" s="16" t="s">
        <v>73</v>
      </c>
      <c r="B45" s="28" t="s">
        <v>117</v>
      </c>
      <c r="C45" s="17"/>
      <c r="D45" s="18">
        <f>SUM(D46:D62)</f>
        <v>59416</v>
      </c>
      <c r="E45" s="18">
        <f>SUM(E46:E62)</f>
        <v>93613</v>
      </c>
      <c r="F45" s="115">
        <f t="shared" si="0"/>
        <v>0.57999999999999996</v>
      </c>
    </row>
    <row r="46" spans="1:6" x14ac:dyDescent="0.25">
      <c r="A46" s="14" t="s">
        <v>74</v>
      </c>
      <c r="B46" s="52" t="s">
        <v>25</v>
      </c>
      <c r="C46" s="30" t="s">
        <v>102</v>
      </c>
      <c r="D46" s="15">
        <v>13296</v>
      </c>
      <c r="E46" s="15">
        <f>606-394</f>
        <v>212</v>
      </c>
      <c r="F46" s="54">
        <f t="shared" si="0"/>
        <v>-0.98</v>
      </c>
    </row>
    <row r="47" spans="1:6" x14ac:dyDescent="0.25">
      <c r="A47" s="14" t="s">
        <v>75</v>
      </c>
      <c r="B47" s="52" t="s">
        <v>26</v>
      </c>
      <c r="C47" s="30" t="s">
        <v>102</v>
      </c>
      <c r="D47" s="15">
        <v>0</v>
      </c>
      <c r="E47" s="15">
        <f>379-288</f>
        <v>91</v>
      </c>
      <c r="F47" s="54">
        <v>0</v>
      </c>
    </row>
    <row r="48" spans="1:6" x14ac:dyDescent="0.25">
      <c r="A48" s="14" t="s">
        <v>76</v>
      </c>
      <c r="B48" s="52" t="s">
        <v>118</v>
      </c>
      <c r="C48" s="30" t="s">
        <v>102</v>
      </c>
      <c r="D48" s="15">
        <v>1046</v>
      </c>
      <c r="E48" s="15">
        <f>415-272</f>
        <v>143</v>
      </c>
      <c r="F48" s="54">
        <f t="shared" si="0"/>
        <v>-0.86</v>
      </c>
    </row>
    <row r="49" spans="1:8" x14ac:dyDescent="0.25">
      <c r="A49" s="14" t="s">
        <v>77</v>
      </c>
      <c r="B49" s="52" t="s">
        <v>48</v>
      </c>
      <c r="C49" s="30" t="s">
        <v>102</v>
      </c>
      <c r="D49" s="15">
        <v>0</v>
      </c>
      <c r="E49" s="15">
        <f>62-62</f>
        <v>0</v>
      </c>
      <c r="F49" s="54">
        <v>0</v>
      </c>
    </row>
    <row r="50" spans="1:8" x14ac:dyDescent="0.25">
      <c r="A50" s="14" t="s">
        <v>78</v>
      </c>
      <c r="B50" s="52" t="s">
        <v>28</v>
      </c>
      <c r="C50" s="30" t="s">
        <v>102</v>
      </c>
      <c r="D50" s="15">
        <v>0</v>
      </c>
      <c r="E50" s="15">
        <f>502-283</f>
        <v>219</v>
      </c>
      <c r="F50" s="54">
        <v>0</v>
      </c>
    </row>
    <row r="51" spans="1:8" ht="30" x14ac:dyDescent="0.25">
      <c r="A51" s="14" t="s">
        <v>79</v>
      </c>
      <c r="B51" s="52" t="s">
        <v>119</v>
      </c>
      <c r="C51" s="30" t="s">
        <v>102</v>
      </c>
      <c r="D51" s="15">
        <v>615</v>
      </c>
      <c r="E51" s="15">
        <f>639-199</f>
        <v>440</v>
      </c>
      <c r="F51" s="54">
        <f t="shared" si="0"/>
        <v>-0.28000000000000003</v>
      </c>
    </row>
    <row r="52" spans="1:8" ht="15" customHeight="1" x14ac:dyDescent="0.25">
      <c r="A52" s="14" t="s">
        <v>80</v>
      </c>
      <c r="B52" s="52" t="s">
        <v>29</v>
      </c>
      <c r="C52" s="30" t="s">
        <v>102</v>
      </c>
      <c r="D52" s="15">
        <v>1422</v>
      </c>
      <c r="E52" s="15">
        <f>79-66</f>
        <v>13</v>
      </c>
      <c r="F52" s="54">
        <f t="shared" si="0"/>
        <v>-0.99</v>
      </c>
    </row>
    <row r="53" spans="1:8" x14ac:dyDescent="0.25">
      <c r="A53" s="14" t="s">
        <v>81</v>
      </c>
      <c r="B53" s="52" t="s">
        <v>30</v>
      </c>
      <c r="C53" s="30" t="s">
        <v>102</v>
      </c>
      <c r="D53" s="15">
        <v>327</v>
      </c>
      <c r="E53" s="15">
        <v>0</v>
      </c>
      <c r="F53" s="54">
        <v>0</v>
      </c>
    </row>
    <row r="54" spans="1:8" ht="30" x14ac:dyDescent="0.25">
      <c r="A54" s="14" t="s">
        <v>82</v>
      </c>
      <c r="B54" s="52" t="s">
        <v>83</v>
      </c>
      <c r="C54" s="30" t="s">
        <v>102</v>
      </c>
      <c r="D54" s="15">
        <v>471</v>
      </c>
      <c r="E54" s="15">
        <f>676-322</f>
        <v>354</v>
      </c>
      <c r="F54" s="54">
        <f t="shared" si="0"/>
        <v>-0.25</v>
      </c>
    </row>
    <row r="55" spans="1:8" ht="15" customHeight="1" x14ac:dyDescent="0.25">
      <c r="A55" s="14" t="s">
        <v>84</v>
      </c>
      <c r="B55" s="52" t="s">
        <v>31</v>
      </c>
      <c r="C55" s="30" t="s">
        <v>102</v>
      </c>
      <c r="D55" s="15">
        <v>632</v>
      </c>
      <c r="E55" s="15">
        <f>72-61</f>
        <v>11</v>
      </c>
      <c r="F55" s="54">
        <f t="shared" si="0"/>
        <v>-0.98</v>
      </c>
    </row>
    <row r="56" spans="1:8" ht="30" x14ac:dyDescent="0.25">
      <c r="A56" s="14" t="s">
        <v>85</v>
      </c>
      <c r="B56" s="29" t="s">
        <v>120</v>
      </c>
      <c r="C56" s="30" t="s">
        <v>102</v>
      </c>
      <c r="D56" s="15">
        <v>3741</v>
      </c>
      <c r="E56" s="15">
        <f>3055-1837</f>
        <v>1218</v>
      </c>
      <c r="F56" s="54">
        <f t="shared" si="0"/>
        <v>-0.67</v>
      </c>
    </row>
    <row r="57" spans="1:8" ht="15.75" customHeight="1" x14ac:dyDescent="0.25">
      <c r="A57" s="14" t="s">
        <v>86</v>
      </c>
      <c r="B57" s="29" t="s">
        <v>33</v>
      </c>
      <c r="C57" s="30" t="s">
        <v>102</v>
      </c>
      <c r="D57" s="15">
        <v>371</v>
      </c>
      <c r="E57" s="15">
        <f>207-113</f>
        <v>94</v>
      </c>
      <c r="F57" s="164">
        <f t="shared" si="0"/>
        <v>-0.75</v>
      </c>
    </row>
    <row r="58" spans="1:8" ht="16.5" customHeight="1" x14ac:dyDescent="0.25">
      <c r="A58" s="14" t="s">
        <v>87</v>
      </c>
      <c r="B58" s="29" t="s">
        <v>34</v>
      </c>
      <c r="C58" s="30" t="s">
        <v>102</v>
      </c>
      <c r="D58" s="15">
        <v>0</v>
      </c>
      <c r="E58" s="15">
        <v>0</v>
      </c>
      <c r="F58" s="54">
        <v>0</v>
      </c>
    </row>
    <row r="59" spans="1:8" ht="15.75" customHeight="1" x14ac:dyDescent="0.25">
      <c r="A59" s="14" t="s">
        <v>88</v>
      </c>
      <c r="B59" s="52" t="s">
        <v>121</v>
      </c>
      <c r="C59" s="30" t="s">
        <v>102</v>
      </c>
      <c r="D59" s="15">
        <v>5042</v>
      </c>
      <c r="E59" s="15">
        <f>2462-1410</f>
        <v>1052</v>
      </c>
      <c r="F59" s="54">
        <f t="shared" si="0"/>
        <v>-0.79</v>
      </c>
    </row>
    <row r="60" spans="1:8" ht="16.5" customHeight="1" x14ac:dyDescent="0.25">
      <c r="A60" s="14" t="s">
        <v>89</v>
      </c>
      <c r="B60" s="52" t="s">
        <v>122</v>
      </c>
      <c r="C60" s="30" t="s">
        <v>102</v>
      </c>
      <c r="D60" s="15">
        <v>7969</v>
      </c>
      <c r="E60" s="15">
        <f>173431-86564</f>
        <v>86867</v>
      </c>
      <c r="F60" s="54">
        <f t="shared" si="0"/>
        <v>9.9</v>
      </c>
    </row>
    <row r="61" spans="1:8" ht="17.25" customHeight="1" x14ac:dyDescent="0.25">
      <c r="A61" s="14" t="s">
        <v>90</v>
      </c>
      <c r="B61" s="52" t="s">
        <v>36</v>
      </c>
      <c r="C61" s="30" t="s">
        <v>102</v>
      </c>
      <c r="D61" s="15">
        <v>1622</v>
      </c>
      <c r="E61" s="15">
        <f>866-507</f>
        <v>359</v>
      </c>
      <c r="F61" s="54">
        <f t="shared" si="0"/>
        <v>-0.78</v>
      </c>
    </row>
    <row r="62" spans="1:8" ht="17.25" customHeight="1" x14ac:dyDescent="0.25">
      <c r="A62" s="14" t="s">
        <v>91</v>
      </c>
      <c r="B62" s="52" t="s">
        <v>123</v>
      </c>
      <c r="C62" s="30" t="s">
        <v>102</v>
      </c>
      <c r="D62" s="15">
        <v>22862</v>
      </c>
      <c r="E62" s="15">
        <f>8578-6041+3</f>
        <v>2540</v>
      </c>
      <c r="F62" s="54">
        <f t="shared" si="0"/>
        <v>-0.89</v>
      </c>
    </row>
    <row r="63" spans="1:8" ht="20.25" customHeight="1" x14ac:dyDescent="0.25">
      <c r="A63" s="30">
        <v>7</v>
      </c>
      <c r="B63" s="27" t="s">
        <v>38</v>
      </c>
      <c r="C63" s="30" t="s">
        <v>102</v>
      </c>
      <c r="D63" s="13">
        <v>0</v>
      </c>
      <c r="E63" s="13">
        <v>0</v>
      </c>
      <c r="F63" s="108">
        <v>0</v>
      </c>
    </row>
    <row r="64" spans="1:8" ht="21" customHeight="1" x14ac:dyDescent="0.25">
      <c r="A64" s="30" t="s">
        <v>39</v>
      </c>
      <c r="B64" s="27" t="s">
        <v>124</v>
      </c>
      <c r="C64" s="30" t="s">
        <v>99</v>
      </c>
      <c r="D64" s="13">
        <f t="shared" ref="D64" si="1">D12+D37</f>
        <v>2359446</v>
      </c>
      <c r="E64" s="13">
        <f>E12+E37</f>
        <v>1517597</v>
      </c>
      <c r="F64" s="108">
        <f t="shared" si="0"/>
        <v>-0.36</v>
      </c>
      <c r="H64" s="444"/>
    </row>
    <row r="65" spans="1:8" x14ac:dyDescent="0.25">
      <c r="A65" s="30" t="s">
        <v>41</v>
      </c>
      <c r="B65" s="27" t="s">
        <v>125</v>
      </c>
      <c r="C65" s="30" t="s">
        <v>102</v>
      </c>
      <c r="D65" s="13">
        <v>137109</v>
      </c>
      <c r="E65" s="13">
        <f>E67-E64</f>
        <v>-745640</v>
      </c>
      <c r="F65" s="108">
        <f t="shared" si="0"/>
        <v>-6.44</v>
      </c>
      <c r="H65" s="444"/>
    </row>
    <row r="66" spans="1:8" s="19" customFormat="1" ht="29.25" customHeight="1" x14ac:dyDescent="0.25">
      <c r="A66" s="17" t="s">
        <v>42</v>
      </c>
      <c r="B66" s="28" t="s">
        <v>126</v>
      </c>
      <c r="C66" s="16" t="s">
        <v>102</v>
      </c>
      <c r="D66" s="47">
        <v>2216664</v>
      </c>
      <c r="E66" s="47" t="s">
        <v>323</v>
      </c>
      <c r="F66" s="115">
        <v>0</v>
      </c>
    </row>
    <row r="67" spans="1:8" ht="17.25" customHeight="1" x14ac:dyDescent="0.25">
      <c r="A67" s="30" t="s">
        <v>44</v>
      </c>
      <c r="B67" s="27" t="s">
        <v>43</v>
      </c>
      <c r="C67" s="30" t="s">
        <v>99</v>
      </c>
      <c r="D67" s="13">
        <f>D64+D65</f>
        <v>2496555</v>
      </c>
      <c r="E67" s="13">
        <f>'доход 2019'!BG10/1000</f>
        <v>771957</v>
      </c>
      <c r="F67" s="108">
        <f t="shared" si="0"/>
        <v>-0.69</v>
      </c>
    </row>
    <row r="68" spans="1:8" ht="27" customHeight="1" x14ac:dyDescent="0.25">
      <c r="A68" s="51" t="s">
        <v>50</v>
      </c>
      <c r="B68" s="27" t="s">
        <v>127</v>
      </c>
      <c r="C68" s="30" t="s">
        <v>49</v>
      </c>
      <c r="D68" s="34">
        <v>992.72799999999995</v>
      </c>
      <c r="E68" s="34">
        <f>'доход 2019'!BE10/1000</f>
        <v>369.52199999999999</v>
      </c>
      <c r="F68" s="108">
        <f t="shared" si="0"/>
        <v>-0.63</v>
      </c>
    </row>
    <row r="69" spans="1:8" ht="12.75" customHeight="1" x14ac:dyDescent="0.25">
      <c r="A69" s="447" t="s">
        <v>92</v>
      </c>
      <c r="B69" s="449" t="s">
        <v>128</v>
      </c>
      <c r="C69" s="14" t="s">
        <v>51</v>
      </c>
      <c r="D69" s="54">
        <v>0</v>
      </c>
      <c r="E69" s="54">
        <v>0</v>
      </c>
      <c r="F69" s="54">
        <v>0</v>
      </c>
    </row>
    <row r="70" spans="1:8" ht="30" customHeight="1" x14ac:dyDescent="0.25">
      <c r="A70" s="448"/>
      <c r="B70" s="449"/>
      <c r="C70" s="14" t="s">
        <v>129</v>
      </c>
      <c r="D70" s="15">
        <v>0</v>
      </c>
      <c r="E70" s="15">
        <v>0</v>
      </c>
      <c r="F70" s="54">
        <v>0</v>
      </c>
    </row>
    <row r="71" spans="1:8" ht="27" customHeight="1" x14ac:dyDescent="0.25">
      <c r="A71" s="30" t="s">
        <v>210</v>
      </c>
      <c r="B71" s="27" t="s">
        <v>212</v>
      </c>
      <c r="C71" s="30" t="s">
        <v>214</v>
      </c>
      <c r="D71" s="22">
        <f t="shared" ref="D71" si="2">D67/D68</f>
        <v>2514.84</v>
      </c>
      <c r="E71" s="22">
        <f t="shared" ref="E71" si="3">E67/E68</f>
        <v>2089.0700000000002</v>
      </c>
      <c r="F71" s="108">
        <f t="shared" si="0"/>
        <v>-0.17</v>
      </c>
      <c r="G71" s="175"/>
    </row>
    <row r="72" spans="1:8" ht="21" customHeight="1" x14ac:dyDescent="0.25">
      <c r="A72" s="12"/>
      <c r="B72" s="50"/>
      <c r="C72" s="12"/>
      <c r="D72" s="49"/>
      <c r="E72" s="49"/>
      <c r="F72" s="55"/>
      <c r="G72" s="175"/>
    </row>
    <row r="73" spans="1:8" ht="49.5" customHeight="1" x14ac:dyDescent="0.25">
      <c r="A73" s="446"/>
      <c r="B73" s="446"/>
      <c r="C73" s="446"/>
      <c r="D73" s="446"/>
      <c r="E73" s="446"/>
      <c r="F73" s="446"/>
    </row>
    <row r="74" spans="1:8" x14ac:dyDescent="0.25">
      <c r="D74" s="172"/>
      <c r="E74" s="173"/>
      <c r="F74" s="174"/>
    </row>
    <row r="75" spans="1:8" x14ac:dyDescent="0.25">
      <c r="D75" s="172"/>
      <c r="E75" s="173"/>
      <c r="F75" s="174"/>
    </row>
    <row r="76" spans="1:8" x14ac:dyDescent="0.25">
      <c r="D76" s="172"/>
      <c r="E76" s="173"/>
      <c r="F76" s="174"/>
    </row>
    <row r="77" spans="1:8" x14ac:dyDescent="0.25">
      <c r="D77" s="172"/>
      <c r="E77" s="173"/>
      <c r="F77" s="174"/>
    </row>
    <row r="78" spans="1:8" x14ac:dyDescent="0.25">
      <c r="D78" s="172"/>
      <c r="E78" s="173"/>
      <c r="F78" s="174"/>
    </row>
    <row r="79" spans="1:8" x14ac:dyDescent="0.25">
      <c r="D79" s="172"/>
      <c r="E79" s="173"/>
      <c r="F79" s="174"/>
    </row>
    <row r="80" spans="1:8" x14ac:dyDescent="0.25">
      <c r="D80" s="172"/>
      <c r="E80" s="173"/>
      <c r="F80" s="174"/>
    </row>
    <row r="81" spans="4:6" x14ac:dyDescent="0.25">
      <c r="D81" s="172"/>
      <c r="E81" s="173"/>
      <c r="F81" s="174"/>
    </row>
    <row r="82" spans="4:6" x14ac:dyDescent="0.25">
      <c r="D82" s="172"/>
      <c r="E82" s="173"/>
      <c r="F82" s="174"/>
    </row>
    <row r="83" spans="4:6" x14ac:dyDescent="0.25">
      <c r="D83" s="172"/>
      <c r="E83" s="173"/>
      <c r="F83" s="174"/>
    </row>
    <row r="84" spans="4:6" x14ac:dyDescent="0.25">
      <c r="D84" s="172"/>
      <c r="E84" s="173"/>
      <c r="F84" s="174"/>
    </row>
  </sheetData>
  <mergeCells count="9">
    <mergeCell ref="A73:F73"/>
    <mergeCell ref="A69:A70"/>
    <mergeCell ref="B69:B70"/>
    <mergeCell ref="E1:F1"/>
    <mergeCell ref="E2:F2"/>
    <mergeCell ref="A7:F7"/>
    <mergeCell ref="A8:F8"/>
    <mergeCell ref="E3:F3"/>
    <mergeCell ref="E4:F4"/>
  </mergeCells>
  <printOptions horizontalCentered="1"/>
  <pageMargins left="0.27559055118110237" right="0.15748031496062992" top="0.27559055118110237" bottom="0.3937007874015748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Normal="100" workbookViewId="0">
      <selection activeCell="D114" sqref="D114"/>
    </sheetView>
  </sheetViews>
  <sheetFormatPr defaultColWidth="9.140625" defaultRowHeight="12" customHeight="1" x14ac:dyDescent="0.25"/>
  <cols>
    <col min="1" max="1" width="6.42578125" style="62" customWidth="1"/>
    <col min="2" max="2" width="39.140625" style="62" customWidth="1"/>
    <col min="3" max="3" width="12.42578125" style="62" customWidth="1"/>
    <col min="4" max="4" width="14.85546875" style="2" customWidth="1"/>
    <col min="5" max="5" width="15.42578125" style="2" customWidth="1"/>
    <col min="6" max="6" width="12.7109375" style="2" customWidth="1"/>
    <col min="7" max="7" width="13.7109375" style="62" bestFit="1" customWidth="1"/>
    <col min="8" max="242" width="9.140625" style="62"/>
    <col min="243" max="243" width="4.7109375" style="62" customWidth="1"/>
    <col min="244" max="244" width="37" style="62" customWidth="1"/>
    <col min="245" max="245" width="10.28515625" style="62" customWidth="1"/>
    <col min="246" max="246" width="14.42578125" style="62" customWidth="1"/>
    <col min="247" max="247" width="14.28515625" style="62" customWidth="1"/>
    <col min="248" max="248" width="10.7109375" style="62" customWidth="1"/>
    <col min="249" max="249" width="9.42578125" style="62" customWidth="1"/>
    <col min="250" max="498" width="9.140625" style="62"/>
    <col min="499" max="499" width="4.7109375" style="62" customWidth="1"/>
    <col min="500" max="500" width="37" style="62" customWidth="1"/>
    <col min="501" max="501" width="10.28515625" style="62" customWidth="1"/>
    <col min="502" max="502" width="14.42578125" style="62" customWidth="1"/>
    <col min="503" max="503" width="14.28515625" style="62" customWidth="1"/>
    <col min="504" max="504" width="10.7109375" style="62" customWidth="1"/>
    <col min="505" max="505" width="9.42578125" style="62" customWidth="1"/>
    <col min="506" max="754" width="9.140625" style="62"/>
    <col min="755" max="755" width="4.7109375" style="62" customWidth="1"/>
    <col min="756" max="756" width="37" style="62" customWidth="1"/>
    <col min="757" max="757" width="10.28515625" style="62" customWidth="1"/>
    <col min="758" max="758" width="14.42578125" style="62" customWidth="1"/>
    <col min="759" max="759" width="14.28515625" style="62" customWidth="1"/>
    <col min="760" max="760" width="10.7109375" style="62" customWidth="1"/>
    <col min="761" max="761" width="9.42578125" style="62" customWidth="1"/>
    <col min="762" max="1010" width="9.140625" style="62"/>
    <col min="1011" max="1011" width="4.7109375" style="62" customWidth="1"/>
    <col min="1012" max="1012" width="37" style="62" customWidth="1"/>
    <col min="1013" max="1013" width="10.28515625" style="62" customWidth="1"/>
    <col min="1014" max="1014" width="14.42578125" style="62" customWidth="1"/>
    <col min="1015" max="1015" width="14.28515625" style="62" customWidth="1"/>
    <col min="1016" max="1016" width="10.7109375" style="62" customWidth="1"/>
    <col min="1017" max="1017" width="9.42578125" style="62" customWidth="1"/>
    <col min="1018" max="1266" width="9.140625" style="62"/>
    <col min="1267" max="1267" width="4.7109375" style="62" customWidth="1"/>
    <col min="1268" max="1268" width="37" style="62" customWidth="1"/>
    <col min="1269" max="1269" width="10.28515625" style="62" customWidth="1"/>
    <col min="1270" max="1270" width="14.42578125" style="62" customWidth="1"/>
    <col min="1271" max="1271" width="14.28515625" style="62" customWidth="1"/>
    <col min="1272" max="1272" width="10.7109375" style="62" customWidth="1"/>
    <col min="1273" max="1273" width="9.42578125" style="62" customWidth="1"/>
    <col min="1274" max="1522" width="9.140625" style="62"/>
    <col min="1523" max="1523" width="4.7109375" style="62" customWidth="1"/>
    <col min="1524" max="1524" width="37" style="62" customWidth="1"/>
    <col min="1525" max="1525" width="10.28515625" style="62" customWidth="1"/>
    <col min="1526" max="1526" width="14.42578125" style="62" customWidth="1"/>
    <col min="1527" max="1527" width="14.28515625" style="62" customWidth="1"/>
    <col min="1528" max="1528" width="10.7109375" style="62" customWidth="1"/>
    <col min="1529" max="1529" width="9.42578125" style="62" customWidth="1"/>
    <col min="1530" max="1778" width="9.140625" style="62"/>
    <col min="1779" max="1779" width="4.7109375" style="62" customWidth="1"/>
    <col min="1780" max="1780" width="37" style="62" customWidth="1"/>
    <col min="1781" max="1781" width="10.28515625" style="62" customWidth="1"/>
    <col min="1782" max="1782" width="14.42578125" style="62" customWidth="1"/>
    <col min="1783" max="1783" width="14.28515625" style="62" customWidth="1"/>
    <col min="1784" max="1784" width="10.7109375" style="62" customWidth="1"/>
    <col min="1785" max="1785" width="9.42578125" style="62" customWidth="1"/>
    <col min="1786" max="2034" width="9.140625" style="62"/>
    <col min="2035" max="2035" width="4.7109375" style="62" customWidth="1"/>
    <col min="2036" max="2036" width="37" style="62" customWidth="1"/>
    <col min="2037" max="2037" width="10.28515625" style="62" customWidth="1"/>
    <col min="2038" max="2038" width="14.42578125" style="62" customWidth="1"/>
    <col min="2039" max="2039" width="14.28515625" style="62" customWidth="1"/>
    <col min="2040" max="2040" width="10.7109375" style="62" customWidth="1"/>
    <col min="2041" max="2041" width="9.42578125" style="62" customWidth="1"/>
    <col min="2042" max="2290" width="9.140625" style="62"/>
    <col min="2291" max="2291" width="4.7109375" style="62" customWidth="1"/>
    <col min="2292" max="2292" width="37" style="62" customWidth="1"/>
    <col min="2293" max="2293" width="10.28515625" style="62" customWidth="1"/>
    <col min="2294" max="2294" width="14.42578125" style="62" customWidth="1"/>
    <col min="2295" max="2295" width="14.28515625" style="62" customWidth="1"/>
    <col min="2296" max="2296" width="10.7109375" style="62" customWidth="1"/>
    <col min="2297" max="2297" width="9.42578125" style="62" customWidth="1"/>
    <col min="2298" max="2546" width="9.140625" style="62"/>
    <col min="2547" max="2547" width="4.7109375" style="62" customWidth="1"/>
    <col min="2548" max="2548" width="37" style="62" customWidth="1"/>
    <col min="2549" max="2549" width="10.28515625" style="62" customWidth="1"/>
    <col min="2550" max="2550" width="14.42578125" style="62" customWidth="1"/>
    <col min="2551" max="2551" width="14.28515625" style="62" customWidth="1"/>
    <col min="2552" max="2552" width="10.7109375" style="62" customWidth="1"/>
    <col min="2553" max="2553" width="9.42578125" style="62" customWidth="1"/>
    <col min="2554" max="2802" width="9.140625" style="62"/>
    <col min="2803" max="2803" width="4.7109375" style="62" customWidth="1"/>
    <col min="2804" max="2804" width="37" style="62" customWidth="1"/>
    <col min="2805" max="2805" width="10.28515625" style="62" customWidth="1"/>
    <col min="2806" max="2806" width="14.42578125" style="62" customWidth="1"/>
    <col min="2807" max="2807" width="14.28515625" style="62" customWidth="1"/>
    <col min="2808" max="2808" width="10.7109375" style="62" customWidth="1"/>
    <col min="2809" max="2809" width="9.42578125" style="62" customWidth="1"/>
    <col min="2810" max="3058" width="9.140625" style="62"/>
    <col min="3059" max="3059" width="4.7109375" style="62" customWidth="1"/>
    <col min="3060" max="3060" width="37" style="62" customWidth="1"/>
    <col min="3061" max="3061" width="10.28515625" style="62" customWidth="1"/>
    <col min="3062" max="3062" width="14.42578125" style="62" customWidth="1"/>
    <col min="3063" max="3063" width="14.28515625" style="62" customWidth="1"/>
    <col min="3064" max="3064" width="10.7109375" style="62" customWidth="1"/>
    <col min="3065" max="3065" width="9.42578125" style="62" customWidth="1"/>
    <col min="3066" max="3314" width="9.140625" style="62"/>
    <col min="3315" max="3315" width="4.7109375" style="62" customWidth="1"/>
    <col min="3316" max="3316" width="37" style="62" customWidth="1"/>
    <col min="3317" max="3317" width="10.28515625" style="62" customWidth="1"/>
    <col min="3318" max="3318" width="14.42578125" style="62" customWidth="1"/>
    <col min="3319" max="3319" width="14.28515625" style="62" customWidth="1"/>
    <col min="3320" max="3320" width="10.7109375" style="62" customWidth="1"/>
    <col min="3321" max="3321" width="9.42578125" style="62" customWidth="1"/>
    <col min="3322" max="3570" width="9.140625" style="62"/>
    <col min="3571" max="3571" width="4.7109375" style="62" customWidth="1"/>
    <col min="3572" max="3572" width="37" style="62" customWidth="1"/>
    <col min="3573" max="3573" width="10.28515625" style="62" customWidth="1"/>
    <col min="3574" max="3574" width="14.42578125" style="62" customWidth="1"/>
    <col min="3575" max="3575" width="14.28515625" style="62" customWidth="1"/>
    <col min="3576" max="3576" width="10.7109375" style="62" customWidth="1"/>
    <col min="3577" max="3577" width="9.42578125" style="62" customWidth="1"/>
    <col min="3578" max="3826" width="9.140625" style="62"/>
    <col min="3827" max="3827" width="4.7109375" style="62" customWidth="1"/>
    <col min="3828" max="3828" width="37" style="62" customWidth="1"/>
    <col min="3829" max="3829" width="10.28515625" style="62" customWidth="1"/>
    <col min="3830" max="3830" width="14.42578125" style="62" customWidth="1"/>
    <col min="3831" max="3831" width="14.28515625" style="62" customWidth="1"/>
    <col min="3832" max="3832" width="10.7109375" style="62" customWidth="1"/>
    <col min="3833" max="3833" width="9.42578125" style="62" customWidth="1"/>
    <col min="3834" max="4082" width="9.140625" style="62"/>
    <col min="4083" max="4083" width="4.7109375" style="62" customWidth="1"/>
    <col min="4084" max="4084" width="37" style="62" customWidth="1"/>
    <col min="4085" max="4085" width="10.28515625" style="62" customWidth="1"/>
    <col min="4086" max="4086" width="14.42578125" style="62" customWidth="1"/>
    <col min="4087" max="4087" width="14.28515625" style="62" customWidth="1"/>
    <col min="4088" max="4088" width="10.7109375" style="62" customWidth="1"/>
    <col min="4089" max="4089" width="9.42578125" style="62" customWidth="1"/>
    <col min="4090" max="4338" width="9.140625" style="62"/>
    <col min="4339" max="4339" width="4.7109375" style="62" customWidth="1"/>
    <col min="4340" max="4340" width="37" style="62" customWidth="1"/>
    <col min="4341" max="4341" width="10.28515625" style="62" customWidth="1"/>
    <col min="4342" max="4342" width="14.42578125" style="62" customWidth="1"/>
    <col min="4343" max="4343" width="14.28515625" style="62" customWidth="1"/>
    <col min="4344" max="4344" width="10.7109375" style="62" customWidth="1"/>
    <col min="4345" max="4345" width="9.42578125" style="62" customWidth="1"/>
    <col min="4346" max="4594" width="9.140625" style="62"/>
    <col min="4595" max="4595" width="4.7109375" style="62" customWidth="1"/>
    <col min="4596" max="4596" width="37" style="62" customWidth="1"/>
    <col min="4597" max="4597" width="10.28515625" style="62" customWidth="1"/>
    <col min="4598" max="4598" width="14.42578125" style="62" customWidth="1"/>
    <col min="4599" max="4599" width="14.28515625" style="62" customWidth="1"/>
    <col min="4600" max="4600" width="10.7109375" style="62" customWidth="1"/>
    <col min="4601" max="4601" width="9.42578125" style="62" customWidth="1"/>
    <col min="4602" max="4850" width="9.140625" style="62"/>
    <col min="4851" max="4851" width="4.7109375" style="62" customWidth="1"/>
    <col min="4852" max="4852" width="37" style="62" customWidth="1"/>
    <col min="4853" max="4853" width="10.28515625" style="62" customWidth="1"/>
    <col min="4854" max="4854" width="14.42578125" style="62" customWidth="1"/>
    <col min="4855" max="4855" width="14.28515625" style="62" customWidth="1"/>
    <col min="4856" max="4856" width="10.7109375" style="62" customWidth="1"/>
    <col min="4857" max="4857" width="9.42578125" style="62" customWidth="1"/>
    <col min="4858" max="5106" width="9.140625" style="62"/>
    <col min="5107" max="5107" width="4.7109375" style="62" customWidth="1"/>
    <col min="5108" max="5108" width="37" style="62" customWidth="1"/>
    <col min="5109" max="5109" width="10.28515625" style="62" customWidth="1"/>
    <col min="5110" max="5110" width="14.42578125" style="62" customWidth="1"/>
    <col min="5111" max="5111" width="14.28515625" style="62" customWidth="1"/>
    <col min="5112" max="5112" width="10.7109375" style="62" customWidth="1"/>
    <col min="5113" max="5113" width="9.42578125" style="62" customWidth="1"/>
    <col min="5114" max="5362" width="9.140625" style="62"/>
    <col min="5363" max="5363" width="4.7109375" style="62" customWidth="1"/>
    <col min="5364" max="5364" width="37" style="62" customWidth="1"/>
    <col min="5365" max="5365" width="10.28515625" style="62" customWidth="1"/>
    <col min="5366" max="5366" width="14.42578125" style="62" customWidth="1"/>
    <col min="5367" max="5367" width="14.28515625" style="62" customWidth="1"/>
    <col min="5368" max="5368" width="10.7109375" style="62" customWidth="1"/>
    <col min="5369" max="5369" width="9.42578125" style="62" customWidth="1"/>
    <col min="5370" max="5618" width="9.140625" style="62"/>
    <col min="5619" max="5619" width="4.7109375" style="62" customWidth="1"/>
    <col min="5620" max="5620" width="37" style="62" customWidth="1"/>
    <col min="5621" max="5621" width="10.28515625" style="62" customWidth="1"/>
    <col min="5622" max="5622" width="14.42578125" style="62" customWidth="1"/>
    <col min="5623" max="5623" width="14.28515625" style="62" customWidth="1"/>
    <col min="5624" max="5624" width="10.7109375" style="62" customWidth="1"/>
    <col min="5625" max="5625" width="9.42578125" style="62" customWidth="1"/>
    <col min="5626" max="5874" width="9.140625" style="62"/>
    <col min="5875" max="5875" width="4.7109375" style="62" customWidth="1"/>
    <col min="5876" max="5876" width="37" style="62" customWidth="1"/>
    <col min="5877" max="5877" width="10.28515625" style="62" customWidth="1"/>
    <col min="5878" max="5878" width="14.42578125" style="62" customWidth="1"/>
    <col min="5879" max="5879" width="14.28515625" style="62" customWidth="1"/>
    <col min="5880" max="5880" width="10.7109375" style="62" customWidth="1"/>
    <col min="5881" max="5881" width="9.42578125" style="62" customWidth="1"/>
    <col min="5882" max="6130" width="9.140625" style="62"/>
    <col min="6131" max="6131" width="4.7109375" style="62" customWidth="1"/>
    <col min="6132" max="6132" width="37" style="62" customWidth="1"/>
    <col min="6133" max="6133" width="10.28515625" style="62" customWidth="1"/>
    <col min="6134" max="6134" width="14.42578125" style="62" customWidth="1"/>
    <col min="6135" max="6135" width="14.28515625" style="62" customWidth="1"/>
    <col min="6136" max="6136" width="10.7109375" style="62" customWidth="1"/>
    <col min="6137" max="6137" width="9.42578125" style="62" customWidth="1"/>
    <col min="6138" max="6386" width="9.140625" style="62"/>
    <col min="6387" max="6387" width="4.7109375" style="62" customWidth="1"/>
    <col min="6388" max="6388" width="37" style="62" customWidth="1"/>
    <col min="6389" max="6389" width="10.28515625" style="62" customWidth="1"/>
    <col min="6390" max="6390" width="14.42578125" style="62" customWidth="1"/>
    <col min="6391" max="6391" width="14.28515625" style="62" customWidth="1"/>
    <col min="6392" max="6392" width="10.7109375" style="62" customWidth="1"/>
    <col min="6393" max="6393" width="9.42578125" style="62" customWidth="1"/>
    <col min="6394" max="6642" width="9.140625" style="62"/>
    <col min="6643" max="6643" width="4.7109375" style="62" customWidth="1"/>
    <col min="6644" max="6644" width="37" style="62" customWidth="1"/>
    <col min="6645" max="6645" width="10.28515625" style="62" customWidth="1"/>
    <col min="6646" max="6646" width="14.42578125" style="62" customWidth="1"/>
    <col min="6647" max="6647" width="14.28515625" style="62" customWidth="1"/>
    <col min="6648" max="6648" width="10.7109375" style="62" customWidth="1"/>
    <col min="6649" max="6649" width="9.42578125" style="62" customWidth="1"/>
    <col min="6650" max="6898" width="9.140625" style="62"/>
    <col min="6899" max="6899" width="4.7109375" style="62" customWidth="1"/>
    <col min="6900" max="6900" width="37" style="62" customWidth="1"/>
    <col min="6901" max="6901" width="10.28515625" style="62" customWidth="1"/>
    <col min="6902" max="6902" width="14.42578125" style="62" customWidth="1"/>
    <col min="6903" max="6903" width="14.28515625" style="62" customWidth="1"/>
    <col min="6904" max="6904" width="10.7109375" style="62" customWidth="1"/>
    <col min="6905" max="6905" width="9.42578125" style="62" customWidth="1"/>
    <col min="6906" max="7154" width="9.140625" style="62"/>
    <col min="7155" max="7155" width="4.7109375" style="62" customWidth="1"/>
    <col min="7156" max="7156" width="37" style="62" customWidth="1"/>
    <col min="7157" max="7157" width="10.28515625" style="62" customWidth="1"/>
    <col min="7158" max="7158" width="14.42578125" style="62" customWidth="1"/>
    <col min="7159" max="7159" width="14.28515625" style="62" customWidth="1"/>
    <col min="7160" max="7160" width="10.7109375" style="62" customWidth="1"/>
    <col min="7161" max="7161" width="9.42578125" style="62" customWidth="1"/>
    <col min="7162" max="7410" width="9.140625" style="62"/>
    <col min="7411" max="7411" width="4.7109375" style="62" customWidth="1"/>
    <col min="7412" max="7412" width="37" style="62" customWidth="1"/>
    <col min="7413" max="7413" width="10.28515625" style="62" customWidth="1"/>
    <col min="7414" max="7414" width="14.42578125" style="62" customWidth="1"/>
    <col min="7415" max="7415" width="14.28515625" style="62" customWidth="1"/>
    <col min="7416" max="7416" width="10.7109375" style="62" customWidth="1"/>
    <col min="7417" max="7417" width="9.42578125" style="62" customWidth="1"/>
    <col min="7418" max="7666" width="9.140625" style="62"/>
    <col min="7667" max="7667" width="4.7109375" style="62" customWidth="1"/>
    <col min="7668" max="7668" width="37" style="62" customWidth="1"/>
    <col min="7669" max="7669" width="10.28515625" style="62" customWidth="1"/>
    <col min="7670" max="7670" width="14.42578125" style="62" customWidth="1"/>
    <col min="7671" max="7671" width="14.28515625" style="62" customWidth="1"/>
    <col min="7672" max="7672" width="10.7109375" style="62" customWidth="1"/>
    <col min="7673" max="7673" width="9.42578125" style="62" customWidth="1"/>
    <col min="7674" max="7922" width="9.140625" style="62"/>
    <col min="7923" max="7923" width="4.7109375" style="62" customWidth="1"/>
    <col min="7924" max="7924" width="37" style="62" customWidth="1"/>
    <col min="7925" max="7925" width="10.28515625" style="62" customWidth="1"/>
    <col min="7926" max="7926" width="14.42578125" style="62" customWidth="1"/>
    <col min="7927" max="7927" width="14.28515625" style="62" customWidth="1"/>
    <col min="7928" max="7928" width="10.7109375" style="62" customWidth="1"/>
    <col min="7929" max="7929" width="9.42578125" style="62" customWidth="1"/>
    <col min="7930" max="8178" width="9.140625" style="62"/>
    <col min="8179" max="8179" width="4.7109375" style="62" customWidth="1"/>
    <col min="8180" max="8180" width="37" style="62" customWidth="1"/>
    <col min="8181" max="8181" width="10.28515625" style="62" customWidth="1"/>
    <col min="8182" max="8182" width="14.42578125" style="62" customWidth="1"/>
    <col min="8183" max="8183" width="14.28515625" style="62" customWidth="1"/>
    <col min="8184" max="8184" width="10.7109375" style="62" customWidth="1"/>
    <col min="8185" max="8185" width="9.42578125" style="62" customWidth="1"/>
    <col min="8186" max="8434" width="9.140625" style="62"/>
    <col min="8435" max="8435" width="4.7109375" style="62" customWidth="1"/>
    <col min="8436" max="8436" width="37" style="62" customWidth="1"/>
    <col min="8437" max="8437" width="10.28515625" style="62" customWidth="1"/>
    <col min="8438" max="8438" width="14.42578125" style="62" customWidth="1"/>
    <col min="8439" max="8439" width="14.28515625" style="62" customWidth="1"/>
    <col min="8440" max="8440" width="10.7109375" style="62" customWidth="1"/>
    <col min="8441" max="8441" width="9.42578125" style="62" customWidth="1"/>
    <col min="8442" max="8690" width="9.140625" style="62"/>
    <col min="8691" max="8691" width="4.7109375" style="62" customWidth="1"/>
    <col min="8692" max="8692" width="37" style="62" customWidth="1"/>
    <col min="8693" max="8693" width="10.28515625" style="62" customWidth="1"/>
    <col min="8694" max="8694" width="14.42578125" style="62" customWidth="1"/>
    <col min="8695" max="8695" width="14.28515625" style="62" customWidth="1"/>
    <col min="8696" max="8696" width="10.7109375" style="62" customWidth="1"/>
    <col min="8697" max="8697" width="9.42578125" style="62" customWidth="1"/>
    <col min="8698" max="8946" width="9.140625" style="62"/>
    <col min="8947" max="8947" width="4.7109375" style="62" customWidth="1"/>
    <col min="8948" max="8948" width="37" style="62" customWidth="1"/>
    <col min="8949" max="8949" width="10.28515625" style="62" customWidth="1"/>
    <col min="8950" max="8950" width="14.42578125" style="62" customWidth="1"/>
    <col min="8951" max="8951" width="14.28515625" style="62" customWidth="1"/>
    <col min="8952" max="8952" width="10.7109375" style="62" customWidth="1"/>
    <col min="8953" max="8953" width="9.42578125" style="62" customWidth="1"/>
    <col min="8954" max="9202" width="9.140625" style="62"/>
    <col min="9203" max="9203" width="4.7109375" style="62" customWidth="1"/>
    <col min="9204" max="9204" width="37" style="62" customWidth="1"/>
    <col min="9205" max="9205" width="10.28515625" style="62" customWidth="1"/>
    <col min="9206" max="9206" width="14.42578125" style="62" customWidth="1"/>
    <col min="9207" max="9207" width="14.28515625" style="62" customWidth="1"/>
    <col min="9208" max="9208" width="10.7109375" style="62" customWidth="1"/>
    <col min="9209" max="9209" width="9.42578125" style="62" customWidth="1"/>
    <col min="9210" max="9458" width="9.140625" style="62"/>
    <col min="9459" max="9459" width="4.7109375" style="62" customWidth="1"/>
    <col min="9460" max="9460" width="37" style="62" customWidth="1"/>
    <col min="9461" max="9461" width="10.28515625" style="62" customWidth="1"/>
    <col min="9462" max="9462" width="14.42578125" style="62" customWidth="1"/>
    <col min="9463" max="9463" width="14.28515625" style="62" customWidth="1"/>
    <col min="9464" max="9464" width="10.7109375" style="62" customWidth="1"/>
    <col min="9465" max="9465" width="9.42578125" style="62" customWidth="1"/>
    <col min="9466" max="9714" width="9.140625" style="62"/>
    <col min="9715" max="9715" width="4.7109375" style="62" customWidth="1"/>
    <col min="9716" max="9716" width="37" style="62" customWidth="1"/>
    <col min="9717" max="9717" width="10.28515625" style="62" customWidth="1"/>
    <col min="9718" max="9718" width="14.42578125" style="62" customWidth="1"/>
    <col min="9719" max="9719" width="14.28515625" style="62" customWidth="1"/>
    <col min="9720" max="9720" width="10.7109375" style="62" customWidth="1"/>
    <col min="9721" max="9721" width="9.42578125" style="62" customWidth="1"/>
    <col min="9722" max="9970" width="9.140625" style="62"/>
    <col min="9971" max="9971" width="4.7109375" style="62" customWidth="1"/>
    <col min="9972" max="9972" width="37" style="62" customWidth="1"/>
    <col min="9973" max="9973" width="10.28515625" style="62" customWidth="1"/>
    <col min="9974" max="9974" width="14.42578125" style="62" customWidth="1"/>
    <col min="9975" max="9975" width="14.28515625" style="62" customWidth="1"/>
    <col min="9976" max="9976" width="10.7109375" style="62" customWidth="1"/>
    <col min="9977" max="9977" width="9.42578125" style="62" customWidth="1"/>
    <col min="9978" max="10226" width="9.140625" style="62"/>
    <col min="10227" max="10227" width="4.7109375" style="62" customWidth="1"/>
    <col min="10228" max="10228" width="37" style="62" customWidth="1"/>
    <col min="10229" max="10229" width="10.28515625" style="62" customWidth="1"/>
    <col min="10230" max="10230" width="14.42578125" style="62" customWidth="1"/>
    <col min="10231" max="10231" width="14.28515625" style="62" customWidth="1"/>
    <col min="10232" max="10232" width="10.7109375" style="62" customWidth="1"/>
    <col min="10233" max="10233" width="9.42578125" style="62" customWidth="1"/>
    <col min="10234" max="10482" width="9.140625" style="62"/>
    <col min="10483" max="10483" width="4.7109375" style="62" customWidth="1"/>
    <col min="10484" max="10484" width="37" style="62" customWidth="1"/>
    <col min="10485" max="10485" width="10.28515625" style="62" customWidth="1"/>
    <col min="10486" max="10486" width="14.42578125" style="62" customWidth="1"/>
    <col min="10487" max="10487" width="14.28515625" style="62" customWidth="1"/>
    <col min="10488" max="10488" width="10.7109375" style="62" customWidth="1"/>
    <col min="10489" max="10489" width="9.42578125" style="62" customWidth="1"/>
    <col min="10490" max="10738" width="9.140625" style="62"/>
    <col min="10739" max="10739" width="4.7109375" style="62" customWidth="1"/>
    <col min="10740" max="10740" width="37" style="62" customWidth="1"/>
    <col min="10741" max="10741" width="10.28515625" style="62" customWidth="1"/>
    <col min="10742" max="10742" width="14.42578125" style="62" customWidth="1"/>
    <col min="10743" max="10743" width="14.28515625" style="62" customWidth="1"/>
    <col min="10744" max="10744" width="10.7109375" style="62" customWidth="1"/>
    <col min="10745" max="10745" width="9.42578125" style="62" customWidth="1"/>
    <col min="10746" max="10994" width="9.140625" style="62"/>
    <col min="10995" max="10995" width="4.7109375" style="62" customWidth="1"/>
    <col min="10996" max="10996" width="37" style="62" customWidth="1"/>
    <col min="10997" max="10997" width="10.28515625" style="62" customWidth="1"/>
    <col min="10998" max="10998" width="14.42578125" style="62" customWidth="1"/>
    <col min="10999" max="10999" width="14.28515625" style="62" customWidth="1"/>
    <col min="11000" max="11000" width="10.7109375" style="62" customWidth="1"/>
    <col min="11001" max="11001" width="9.42578125" style="62" customWidth="1"/>
    <col min="11002" max="11250" width="9.140625" style="62"/>
    <col min="11251" max="11251" width="4.7109375" style="62" customWidth="1"/>
    <col min="11252" max="11252" width="37" style="62" customWidth="1"/>
    <col min="11253" max="11253" width="10.28515625" style="62" customWidth="1"/>
    <col min="11254" max="11254" width="14.42578125" style="62" customWidth="1"/>
    <col min="11255" max="11255" width="14.28515625" style="62" customWidth="1"/>
    <col min="11256" max="11256" width="10.7109375" style="62" customWidth="1"/>
    <col min="11257" max="11257" width="9.42578125" style="62" customWidth="1"/>
    <col min="11258" max="11506" width="9.140625" style="62"/>
    <col min="11507" max="11507" width="4.7109375" style="62" customWidth="1"/>
    <col min="11508" max="11508" width="37" style="62" customWidth="1"/>
    <col min="11509" max="11509" width="10.28515625" style="62" customWidth="1"/>
    <col min="11510" max="11510" width="14.42578125" style="62" customWidth="1"/>
    <col min="11511" max="11511" width="14.28515625" style="62" customWidth="1"/>
    <col min="11512" max="11512" width="10.7109375" style="62" customWidth="1"/>
    <col min="11513" max="11513" width="9.42578125" style="62" customWidth="1"/>
    <col min="11514" max="11762" width="9.140625" style="62"/>
    <col min="11763" max="11763" width="4.7109375" style="62" customWidth="1"/>
    <col min="11764" max="11764" width="37" style="62" customWidth="1"/>
    <col min="11765" max="11765" width="10.28515625" style="62" customWidth="1"/>
    <col min="11766" max="11766" width="14.42578125" style="62" customWidth="1"/>
    <col min="11767" max="11767" width="14.28515625" style="62" customWidth="1"/>
    <col min="11768" max="11768" width="10.7109375" style="62" customWidth="1"/>
    <col min="11769" max="11769" width="9.42578125" style="62" customWidth="1"/>
    <col min="11770" max="12018" width="9.140625" style="62"/>
    <col min="12019" max="12019" width="4.7109375" style="62" customWidth="1"/>
    <col min="12020" max="12020" width="37" style="62" customWidth="1"/>
    <col min="12021" max="12021" width="10.28515625" style="62" customWidth="1"/>
    <col min="12022" max="12022" width="14.42578125" style="62" customWidth="1"/>
    <col min="12023" max="12023" width="14.28515625" style="62" customWidth="1"/>
    <col min="12024" max="12024" width="10.7109375" style="62" customWidth="1"/>
    <col min="12025" max="12025" width="9.42578125" style="62" customWidth="1"/>
    <col min="12026" max="12274" width="9.140625" style="62"/>
    <col min="12275" max="12275" width="4.7109375" style="62" customWidth="1"/>
    <col min="12276" max="12276" width="37" style="62" customWidth="1"/>
    <col min="12277" max="12277" width="10.28515625" style="62" customWidth="1"/>
    <col min="12278" max="12278" width="14.42578125" style="62" customWidth="1"/>
    <col min="12279" max="12279" width="14.28515625" style="62" customWidth="1"/>
    <col min="12280" max="12280" width="10.7109375" style="62" customWidth="1"/>
    <col min="12281" max="12281" width="9.42578125" style="62" customWidth="1"/>
    <col min="12282" max="12530" width="9.140625" style="62"/>
    <col min="12531" max="12531" width="4.7109375" style="62" customWidth="1"/>
    <col min="12532" max="12532" width="37" style="62" customWidth="1"/>
    <col min="12533" max="12533" width="10.28515625" style="62" customWidth="1"/>
    <col min="12534" max="12534" width="14.42578125" style="62" customWidth="1"/>
    <col min="12535" max="12535" width="14.28515625" style="62" customWidth="1"/>
    <col min="12536" max="12536" width="10.7109375" style="62" customWidth="1"/>
    <col min="12537" max="12537" width="9.42578125" style="62" customWidth="1"/>
    <col min="12538" max="12786" width="9.140625" style="62"/>
    <col min="12787" max="12787" width="4.7109375" style="62" customWidth="1"/>
    <col min="12788" max="12788" width="37" style="62" customWidth="1"/>
    <col min="12789" max="12789" width="10.28515625" style="62" customWidth="1"/>
    <col min="12790" max="12790" width="14.42578125" style="62" customWidth="1"/>
    <col min="12791" max="12791" width="14.28515625" style="62" customWidth="1"/>
    <col min="12792" max="12792" width="10.7109375" style="62" customWidth="1"/>
    <col min="12793" max="12793" width="9.42578125" style="62" customWidth="1"/>
    <col min="12794" max="13042" width="9.140625" style="62"/>
    <col min="13043" max="13043" width="4.7109375" style="62" customWidth="1"/>
    <col min="13044" max="13044" width="37" style="62" customWidth="1"/>
    <col min="13045" max="13045" width="10.28515625" style="62" customWidth="1"/>
    <col min="13046" max="13046" width="14.42578125" style="62" customWidth="1"/>
    <col min="13047" max="13047" width="14.28515625" style="62" customWidth="1"/>
    <col min="13048" max="13048" width="10.7109375" style="62" customWidth="1"/>
    <col min="13049" max="13049" width="9.42578125" style="62" customWidth="1"/>
    <col min="13050" max="13298" width="9.140625" style="62"/>
    <col min="13299" max="13299" width="4.7109375" style="62" customWidth="1"/>
    <col min="13300" max="13300" width="37" style="62" customWidth="1"/>
    <col min="13301" max="13301" width="10.28515625" style="62" customWidth="1"/>
    <col min="13302" max="13302" width="14.42578125" style="62" customWidth="1"/>
    <col min="13303" max="13303" width="14.28515625" style="62" customWidth="1"/>
    <col min="13304" max="13304" width="10.7109375" style="62" customWidth="1"/>
    <col min="13305" max="13305" width="9.42578125" style="62" customWidth="1"/>
    <col min="13306" max="13554" width="9.140625" style="62"/>
    <col min="13555" max="13555" width="4.7109375" style="62" customWidth="1"/>
    <col min="13556" max="13556" width="37" style="62" customWidth="1"/>
    <col min="13557" max="13557" width="10.28515625" style="62" customWidth="1"/>
    <col min="13558" max="13558" width="14.42578125" style="62" customWidth="1"/>
    <col min="13559" max="13559" width="14.28515625" style="62" customWidth="1"/>
    <col min="13560" max="13560" width="10.7109375" style="62" customWidth="1"/>
    <col min="13561" max="13561" width="9.42578125" style="62" customWidth="1"/>
    <col min="13562" max="13810" width="9.140625" style="62"/>
    <col min="13811" max="13811" width="4.7109375" style="62" customWidth="1"/>
    <col min="13812" max="13812" width="37" style="62" customWidth="1"/>
    <col min="13813" max="13813" width="10.28515625" style="62" customWidth="1"/>
    <col min="13814" max="13814" width="14.42578125" style="62" customWidth="1"/>
    <col min="13815" max="13815" width="14.28515625" style="62" customWidth="1"/>
    <col min="13816" max="13816" width="10.7109375" style="62" customWidth="1"/>
    <col min="13817" max="13817" width="9.42578125" style="62" customWidth="1"/>
    <col min="13818" max="14066" width="9.140625" style="62"/>
    <col min="14067" max="14067" width="4.7109375" style="62" customWidth="1"/>
    <col min="14068" max="14068" width="37" style="62" customWidth="1"/>
    <col min="14069" max="14069" width="10.28515625" style="62" customWidth="1"/>
    <col min="14070" max="14070" width="14.42578125" style="62" customWidth="1"/>
    <col min="14071" max="14071" width="14.28515625" style="62" customWidth="1"/>
    <col min="14072" max="14072" width="10.7109375" style="62" customWidth="1"/>
    <col min="14073" max="14073" width="9.42578125" style="62" customWidth="1"/>
    <col min="14074" max="14322" width="9.140625" style="62"/>
    <col min="14323" max="14323" width="4.7109375" style="62" customWidth="1"/>
    <col min="14324" max="14324" width="37" style="62" customWidth="1"/>
    <col min="14325" max="14325" width="10.28515625" style="62" customWidth="1"/>
    <col min="14326" max="14326" width="14.42578125" style="62" customWidth="1"/>
    <col min="14327" max="14327" width="14.28515625" style="62" customWidth="1"/>
    <col min="14328" max="14328" width="10.7109375" style="62" customWidth="1"/>
    <col min="14329" max="14329" width="9.42578125" style="62" customWidth="1"/>
    <col min="14330" max="14578" width="9.140625" style="62"/>
    <col min="14579" max="14579" width="4.7109375" style="62" customWidth="1"/>
    <col min="14580" max="14580" width="37" style="62" customWidth="1"/>
    <col min="14581" max="14581" width="10.28515625" style="62" customWidth="1"/>
    <col min="14582" max="14582" width="14.42578125" style="62" customWidth="1"/>
    <col min="14583" max="14583" width="14.28515625" style="62" customWidth="1"/>
    <col min="14584" max="14584" width="10.7109375" style="62" customWidth="1"/>
    <col min="14585" max="14585" width="9.42578125" style="62" customWidth="1"/>
    <col min="14586" max="14834" width="9.140625" style="62"/>
    <col min="14835" max="14835" width="4.7109375" style="62" customWidth="1"/>
    <col min="14836" max="14836" width="37" style="62" customWidth="1"/>
    <col min="14837" max="14837" width="10.28515625" style="62" customWidth="1"/>
    <col min="14838" max="14838" width="14.42578125" style="62" customWidth="1"/>
    <col min="14839" max="14839" width="14.28515625" style="62" customWidth="1"/>
    <col min="14840" max="14840" width="10.7109375" style="62" customWidth="1"/>
    <col min="14841" max="14841" width="9.42578125" style="62" customWidth="1"/>
    <col min="14842" max="15090" width="9.140625" style="62"/>
    <col min="15091" max="15091" width="4.7109375" style="62" customWidth="1"/>
    <col min="15092" max="15092" width="37" style="62" customWidth="1"/>
    <col min="15093" max="15093" width="10.28515625" style="62" customWidth="1"/>
    <col min="15094" max="15094" width="14.42578125" style="62" customWidth="1"/>
    <col min="15095" max="15095" width="14.28515625" style="62" customWidth="1"/>
    <col min="15096" max="15096" width="10.7109375" style="62" customWidth="1"/>
    <col min="15097" max="15097" width="9.42578125" style="62" customWidth="1"/>
    <col min="15098" max="15346" width="9.140625" style="62"/>
    <col min="15347" max="15347" width="4.7109375" style="62" customWidth="1"/>
    <col min="15348" max="15348" width="37" style="62" customWidth="1"/>
    <col min="15349" max="15349" width="10.28515625" style="62" customWidth="1"/>
    <col min="15350" max="15350" width="14.42578125" style="62" customWidth="1"/>
    <col min="15351" max="15351" width="14.28515625" style="62" customWidth="1"/>
    <col min="15352" max="15352" width="10.7109375" style="62" customWidth="1"/>
    <col min="15353" max="15353" width="9.42578125" style="62" customWidth="1"/>
    <col min="15354" max="15602" width="9.140625" style="62"/>
    <col min="15603" max="15603" width="4.7109375" style="62" customWidth="1"/>
    <col min="15604" max="15604" width="37" style="62" customWidth="1"/>
    <col min="15605" max="15605" width="10.28515625" style="62" customWidth="1"/>
    <col min="15606" max="15606" width="14.42578125" style="62" customWidth="1"/>
    <col min="15607" max="15607" width="14.28515625" style="62" customWidth="1"/>
    <col min="15608" max="15608" width="10.7109375" style="62" customWidth="1"/>
    <col min="15609" max="15609" width="9.42578125" style="62" customWidth="1"/>
    <col min="15610" max="15858" width="9.140625" style="62"/>
    <col min="15859" max="15859" width="4.7109375" style="62" customWidth="1"/>
    <col min="15860" max="15860" width="37" style="62" customWidth="1"/>
    <col min="15861" max="15861" width="10.28515625" style="62" customWidth="1"/>
    <col min="15862" max="15862" width="14.42578125" style="62" customWidth="1"/>
    <col min="15863" max="15863" width="14.28515625" style="62" customWidth="1"/>
    <col min="15864" max="15864" width="10.7109375" style="62" customWidth="1"/>
    <col min="15865" max="15865" width="9.42578125" style="62" customWidth="1"/>
    <col min="15866" max="16114" width="9.140625" style="62"/>
    <col min="16115" max="16115" width="4.7109375" style="62" customWidth="1"/>
    <col min="16116" max="16116" width="37" style="62" customWidth="1"/>
    <col min="16117" max="16117" width="10.28515625" style="62" customWidth="1"/>
    <col min="16118" max="16118" width="14.42578125" style="62" customWidth="1"/>
    <col min="16119" max="16119" width="14.28515625" style="62" customWidth="1"/>
    <col min="16120" max="16120" width="10.7109375" style="62" customWidth="1"/>
    <col min="16121" max="16121" width="9.42578125" style="62" customWidth="1"/>
    <col min="16122" max="16384" width="9.140625" style="62"/>
  </cols>
  <sheetData>
    <row r="1" spans="1:6" ht="12" customHeight="1" x14ac:dyDescent="0.25">
      <c r="A1" s="1"/>
      <c r="B1" s="1"/>
      <c r="C1" s="1"/>
      <c r="D1" s="60"/>
      <c r="E1" s="61"/>
    </row>
    <row r="2" spans="1:6" ht="16.5" customHeight="1" x14ac:dyDescent="0.25">
      <c r="A2" s="1"/>
      <c r="B2" s="63"/>
      <c r="C2" s="1"/>
      <c r="D2" s="60"/>
      <c r="E2" s="453" t="s">
        <v>224</v>
      </c>
      <c r="F2" s="453"/>
    </row>
    <row r="3" spans="1:6" ht="83.25" customHeight="1" x14ac:dyDescent="0.25">
      <c r="A3" s="1"/>
      <c r="B3" s="1"/>
      <c r="C3" s="1"/>
      <c r="D3" s="60"/>
      <c r="E3" s="453" t="s">
        <v>315</v>
      </c>
      <c r="F3" s="453"/>
    </row>
    <row r="4" spans="1:6" ht="27" customHeight="1" x14ac:dyDescent="0.25">
      <c r="A4" s="1"/>
      <c r="B4" s="1"/>
      <c r="C4" s="1"/>
      <c r="D4" s="60"/>
      <c r="E4" s="453"/>
      <c r="F4" s="453"/>
    </row>
    <row r="5" spans="1:6" ht="35.25" customHeight="1" x14ac:dyDescent="0.25">
      <c r="A5" s="451" t="s">
        <v>225</v>
      </c>
      <c r="B5" s="451"/>
      <c r="C5" s="451"/>
      <c r="D5" s="451"/>
      <c r="E5" s="451"/>
      <c r="F5" s="451"/>
    </row>
    <row r="6" spans="1:6" ht="14.25" customHeight="1" x14ac:dyDescent="0.25">
      <c r="A6" s="452" t="s">
        <v>940</v>
      </c>
      <c r="B6" s="452"/>
      <c r="C6" s="452"/>
      <c r="D6" s="452"/>
      <c r="E6" s="452"/>
      <c r="F6" s="452"/>
    </row>
    <row r="7" spans="1:6" ht="26.25" customHeight="1" x14ac:dyDescent="0.25">
      <c r="A7" s="58"/>
      <c r="B7" s="58"/>
      <c r="C7" s="58"/>
      <c r="D7" s="58"/>
      <c r="E7" s="58"/>
    </row>
    <row r="8" spans="1:6" s="59" customFormat="1" ht="96" customHeight="1" x14ac:dyDescent="0.25">
      <c r="A8" s="64" t="s">
        <v>2</v>
      </c>
      <c r="B8" s="64" t="s">
        <v>4</v>
      </c>
      <c r="C8" s="64" t="s">
        <v>5</v>
      </c>
      <c r="D8" s="65" t="s">
        <v>317</v>
      </c>
      <c r="E8" s="170" t="s">
        <v>942</v>
      </c>
      <c r="F8" s="26" t="s">
        <v>226</v>
      </c>
    </row>
    <row r="9" spans="1:6" s="59" customFormat="1" ht="15" x14ac:dyDescent="0.25">
      <c r="A9" s="66">
        <v>1</v>
      </c>
      <c r="B9" s="66">
        <v>2</v>
      </c>
      <c r="C9" s="66">
        <v>3</v>
      </c>
      <c r="D9" s="65">
        <v>4</v>
      </c>
      <c r="E9" s="168">
        <v>5</v>
      </c>
      <c r="F9" s="26" t="s">
        <v>203</v>
      </c>
    </row>
    <row r="10" spans="1:6" s="7" customFormat="1" ht="30.75" customHeight="1" x14ac:dyDescent="0.25">
      <c r="A10" s="68" t="s">
        <v>6</v>
      </c>
      <c r="B10" s="69" t="s">
        <v>7</v>
      </c>
      <c r="C10" s="68" t="s">
        <v>8</v>
      </c>
      <c r="D10" s="70">
        <f>D11+D20+D27+D28+D30</f>
        <v>1854536</v>
      </c>
      <c r="E10" s="70">
        <f>E11+E20+E27+E28+E30</f>
        <v>1433975</v>
      </c>
      <c r="F10" s="108">
        <f>E10/D10-1</f>
        <v>-0.23</v>
      </c>
    </row>
    <row r="11" spans="1:6" s="7" customFormat="1" ht="15" customHeight="1" x14ac:dyDescent="0.25">
      <c r="A11" s="71">
        <v>1</v>
      </c>
      <c r="B11" s="72" t="s">
        <v>227</v>
      </c>
      <c r="C11" s="68" t="s">
        <v>10</v>
      </c>
      <c r="D11" s="73">
        <f>SUM(D12:D16)</f>
        <v>1252791</v>
      </c>
      <c r="E11" s="73">
        <f>SUM(E12:E16)</f>
        <v>1061523</v>
      </c>
      <c r="F11" s="127">
        <f>E11/D11-1</f>
        <v>-0.15</v>
      </c>
    </row>
    <row r="12" spans="1:6" s="76" customFormat="1" ht="15" x14ac:dyDescent="0.25">
      <c r="A12" s="66" t="s">
        <v>46</v>
      </c>
      <c r="B12" s="74" t="s">
        <v>13</v>
      </c>
      <c r="C12" s="66" t="s">
        <v>10</v>
      </c>
      <c r="D12" s="75">
        <v>153824</v>
      </c>
      <c r="E12" s="75">
        <f>181841-68131</f>
        <v>113710</v>
      </c>
      <c r="F12" s="54">
        <f>E12/D12-1</f>
        <v>-0.26</v>
      </c>
    </row>
    <row r="13" spans="1:6" s="76" customFormat="1" ht="15" x14ac:dyDescent="0.25">
      <c r="A13" s="66" t="s">
        <v>56</v>
      </c>
      <c r="B13" s="74" t="s">
        <v>57</v>
      </c>
      <c r="C13" s="66" t="s">
        <v>10</v>
      </c>
      <c r="D13" s="75">
        <v>0</v>
      </c>
      <c r="E13" s="75">
        <v>0</v>
      </c>
      <c r="F13" s="54">
        <v>0</v>
      </c>
    </row>
    <row r="14" spans="1:6" s="76" customFormat="1" ht="15" x14ac:dyDescent="0.25">
      <c r="A14" s="66" t="s">
        <v>98</v>
      </c>
      <c r="B14" s="77" t="s">
        <v>228</v>
      </c>
      <c r="C14" s="66" t="s">
        <v>10</v>
      </c>
      <c r="D14" s="75">
        <v>3459</v>
      </c>
      <c r="E14" s="75">
        <f>4062-2127</f>
        <v>1935</v>
      </c>
      <c r="F14" s="54">
        <f>E14/D14-1</f>
        <v>-0.44</v>
      </c>
    </row>
    <row r="15" spans="1:6" s="76" customFormat="1" ht="15" x14ac:dyDescent="0.25">
      <c r="A15" s="66" t="s">
        <v>58</v>
      </c>
      <c r="B15" s="78" t="s">
        <v>14</v>
      </c>
      <c r="C15" s="66" t="s">
        <v>10</v>
      </c>
      <c r="D15" s="75">
        <v>0</v>
      </c>
      <c r="E15" s="75">
        <v>0</v>
      </c>
      <c r="F15" s="54">
        <v>0</v>
      </c>
    </row>
    <row r="16" spans="1:6" s="7" customFormat="1" ht="30" x14ac:dyDescent="0.25">
      <c r="A16" s="66" t="s">
        <v>59</v>
      </c>
      <c r="B16" s="79" t="s">
        <v>160</v>
      </c>
      <c r="C16" s="75" t="s">
        <v>10</v>
      </c>
      <c r="D16" s="75">
        <f>SUM(D17:D19)</f>
        <v>1095508</v>
      </c>
      <c r="E16" s="75">
        <f>E17+E18+E19</f>
        <v>945878</v>
      </c>
      <c r="F16" s="54">
        <f t="shared" ref="F16:F80" si="0">E16/D16-1</f>
        <v>-0.14000000000000001</v>
      </c>
    </row>
    <row r="17" spans="1:6" s="76" customFormat="1" ht="15" x14ac:dyDescent="0.25">
      <c r="A17" s="80" t="s">
        <v>205</v>
      </c>
      <c r="B17" s="81" t="s">
        <v>104</v>
      </c>
      <c r="C17" s="80" t="s">
        <v>10</v>
      </c>
      <c r="D17" s="82">
        <v>935624</v>
      </c>
      <c r="E17" s="82">
        <f>1475546-633922</f>
        <v>841624</v>
      </c>
      <c r="F17" s="115">
        <f t="shared" si="0"/>
        <v>-0.1</v>
      </c>
    </row>
    <row r="18" spans="1:6" s="76" customFormat="1" ht="15" x14ac:dyDescent="0.25">
      <c r="A18" s="80" t="s">
        <v>206</v>
      </c>
      <c r="B18" s="81" t="s">
        <v>105</v>
      </c>
      <c r="C18" s="80" t="s">
        <v>10</v>
      </c>
      <c r="D18" s="82">
        <v>137408</v>
      </c>
      <c r="E18" s="82">
        <f>112494-47813</f>
        <v>64681</v>
      </c>
      <c r="F18" s="115">
        <f>E18/D18-1</f>
        <v>-0.53</v>
      </c>
    </row>
    <row r="19" spans="1:6" s="76" customFormat="1" ht="15" x14ac:dyDescent="0.25">
      <c r="A19" s="80" t="s">
        <v>207</v>
      </c>
      <c r="B19" s="81" t="s">
        <v>229</v>
      </c>
      <c r="C19" s="80" t="s">
        <v>10</v>
      </c>
      <c r="D19" s="82">
        <v>22476</v>
      </c>
      <c r="E19" s="82">
        <f>74348-34775</f>
        <v>39573</v>
      </c>
      <c r="F19" s="115">
        <f t="shared" si="0"/>
        <v>0.76</v>
      </c>
    </row>
    <row r="20" spans="1:6" s="7" customFormat="1" ht="15.75" customHeight="1" x14ac:dyDescent="0.25">
      <c r="A20" s="71">
        <v>2</v>
      </c>
      <c r="B20" s="72" t="s">
        <v>95</v>
      </c>
      <c r="C20" s="71" t="s">
        <v>10</v>
      </c>
      <c r="D20" s="83">
        <f>D21+D22</f>
        <v>344234</v>
      </c>
      <c r="E20" s="83">
        <f>E21+E22</f>
        <v>241876</v>
      </c>
      <c r="F20" s="127">
        <f t="shared" si="0"/>
        <v>-0.3</v>
      </c>
    </row>
    <row r="21" spans="1:6" s="7" customFormat="1" ht="30" x14ac:dyDescent="0.25">
      <c r="A21" s="84" t="s">
        <v>106</v>
      </c>
      <c r="B21" s="171" t="s">
        <v>61</v>
      </c>
      <c r="C21" s="66" t="s">
        <v>10</v>
      </c>
      <c r="D21" s="75">
        <v>310121</v>
      </c>
      <c r="E21" s="75">
        <f>419036-199599</f>
        <v>219437</v>
      </c>
      <c r="F21" s="54">
        <f t="shared" si="0"/>
        <v>-0.28999999999999998</v>
      </c>
    </row>
    <row r="22" spans="1:6" s="7" customFormat="1" ht="15" x14ac:dyDescent="0.25">
      <c r="A22" s="66" t="s">
        <v>47</v>
      </c>
      <c r="B22" s="74" t="s">
        <v>62</v>
      </c>
      <c r="C22" s="66" t="s">
        <v>10</v>
      </c>
      <c r="D22" s="75">
        <v>34113</v>
      </c>
      <c r="E22" s="75">
        <f>E23+E24+E25+E26</f>
        <v>22439</v>
      </c>
      <c r="F22" s="54">
        <f t="shared" si="0"/>
        <v>-0.34</v>
      </c>
    </row>
    <row r="23" spans="1:6" s="7" customFormat="1" ht="15" x14ac:dyDescent="0.25">
      <c r="A23" s="66"/>
      <c r="B23" s="85" t="s">
        <v>216</v>
      </c>
      <c r="C23" s="80" t="s">
        <v>10</v>
      </c>
      <c r="D23" s="82">
        <v>18611</v>
      </c>
      <c r="E23" s="82">
        <f>23822-11210</f>
        <v>12612</v>
      </c>
      <c r="F23" s="115">
        <f t="shared" si="0"/>
        <v>-0.32</v>
      </c>
    </row>
    <row r="24" spans="1:6" s="7" customFormat="1" ht="15" x14ac:dyDescent="0.25">
      <c r="A24" s="66"/>
      <c r="B24" s="28" t="s">
        <v>230</v>
      </c>
      <c r="C24" s="80" t="s">
        <v>10</v>
      </c>
      <c r="D24" s="82">
        <v>9789</v>
      </c>
      <c r="E24" s="82">
        <f>12087-5896</f>
        <v>6191</v>
      </c>
      <c r="F24" s="115">
        <f t="shared" si="0"/>
        <v>-0.37</v>
      </c>
    </row>
    <row r="25" spans="1:6" s="7" customFormat="1" ht="15" x14ac:dyDescent="0.25">
      <c r="A25" s="66"/>
      <c r="B25" s="28" t="s">
        <v>231</v>
      </c>
      <c r="C25" s="80" t="s">
        <v>10</v>
      </c>
      <c r="D25" s="82">
        <v>4798</v>
      </c>
      <c r="E25" s="82">
        <f>5965-2890</f>
        <v>3075</v>
      </c>
      <c r="F25" s="115">
        <f t="shared" si="0"/>
        <v>-0.36</v>
      </c>
    </row>
    <row r="26" spans="1:6" s="7" customFormat="1" ht="15" x14ac:dyDescent="0.25">
      <c r="A26" s="66"/>
      <c r="B26" s="28" t="s">
        <v>232</v>
      </c>
      <c r="C26" s="80" t="s">
        <v>10</v>
      </c>
      <c r="D26" s="82">
        <v>915</v>
      </c>
      <c r="E26" s="82">
        <f>1113-551-1</f>
        <v>561</v>
      </c>
      <c r="F26" s="115">
        <f t="shared" si="0"/>
        <v>-0.39</v>
      </c>
    </row>
    <row r="27" spans="1:6" s="7" customFormat="1" ht="15" x14ac:dyDescent="0.25">
      <c r="A27" s="71">
        <v>3</v>
      </c>
      <c r="B27" s="72" t="s">
        <v>18</v>
      </c>
      <c r="C27" s="71" t="s">
        <v>10</v>
      </c>
      <c r="D27" s="83">
        <v>42380</v>
      </c>
      <c r="E27" s="83">
        <f>46566-21158</f>
        <v>25408</v>
      </c>
      <c r="F27" s="127">
        <f t="shared" si="0"/>
        <v>-0.4</v>
      </c>
    </row>
    <row r="28" spans="1:6" s="7" customFormat="1" ht="15" x14ac:dyDescent="0.25">
      <c r="A28" s="71">
        <v>4</v>
      </c>
      <c r="B28" s="72" t="s">
        <v>233</v>
      </c>
      <c r="C28" s="71" t="s">
        <v>10</v>
      </c>
      <c r="D28" s="83">
        <v>0</v>
      </c>
      <c r="E28" s="83">
        <v>0</v>
      </c>
      <c r="F28" s="127">
        <v>0</v>
      </c>
    </row>
    <row r="29" spans="1:6" s="76" customFormat="1" ht="30" x14ac:dyDescent="0.25">
      <c r="A29" s="80" t="s">
        <v>234</v>
      </c>
      <c r="B29" s="74" t="s">
        <v>20</v>
      </c>
      <c r="C29" s="66" t="s">
        <v>10</v>
      </c>
      <c r="D29" s="86">
        <v>0</v>
      </c>
      <c r="E29" s="75">
        <v>0</v>
      </c>
      <c r="F29" s="54">
        <v>0</v>
      </c>
    </row>
    <row r="30" spans="1:6" s="76" customFormat="1" ht="15" x14ac:dyDescent="0.25">
      <c r="A30" s="71">
        <v>5</v>
      </c>
      <c r="B30" s="72" t="s">
        <v>97</v>
      </c>
      <c r="C30" s="71" t="s">
        <v>10</v>
      </c>
      <c r="D30" s="83">
        <f>SUM(D31:D39)</f>
        <v>215131</v>
      </c>
      <c r="E30" s="83">
        <f>SUM(E31:E39)</f>
        <v>105168</v>
      </c>
      <c r="F30" s="127">
        <f t="shared" si="0"/>
        <v>-0.51</v>
      </c>
    </row>
    <row r="31" spans="1:6" s="76" customFormat="1" ht="15" x14ac:dyDescent="0.25">
      <c r="A31" s="84" t="s">
        <v>64</v>
      </c>
      <c r="B31" s="74" t="s">
        <v>28</v>
      </c>
      <c r="C31" s="66" t="s">
        <v>10</v>
      </c>
      <c r="D31" s="86">
        <v>0</v>
      </c>
      <c r="E31" s="86">
        <f>40-20</f>
        <v>20</v>
      </c>
      <c r="F31" s="54">
        <v>0</v>
      </c>
    </row>
    <row r="32" spans="1:6" s="76" customFormat="1" ht="15" x14ac:dyDescent="0.25">
      <c r="A32" s="66" t="s">
        <v>65</v>
      </c>
      <c r="B32" s="74" t="s">
        <v>30</v>
      </c>
      <c r="C32" s="66" t="s">
        <v>10</v>
      </c>
      <c r="D32" s="86">
        <v>30523</v>
      </c>
      <c r="E32" s="86">
        <f>19773-9882</f>
        <v>9891</v>
      </c>
      <c r="F32" s="54">
        <f t="shared" si="0"/>
        <v>-0.68</v>
      </c>
    </row>
    <row r="33" spans="1:6" s="76" customFormat="1" ht="15" x14ac:dyDescent="0.25">
      <c r="A33" s="66" t="s">
        <v>66</v>
      </c>
      <c r="B33" s="74" t="s">
        <v>26</v>
      </c>
      <c r="C33" s="66" t="s">
        <v>10</v>
      </c>
      <c r="D33" s="86">
        <v>0</v>
      </c>
      <c r="E33" s="86">
        <f>270-98</f>
        <v>172</v>
      </c>
      <c r="F33" s="54">
        <v>0</v>
      </c>
    </row>
    <row r="34" spans="1:6" s="76" customFormat="1" ht="30" x14ac:dyDescent="0.25">
      <c r="A34" s="66" t="s">
        <v>67</v>
      </c>
      <c r="B34" s="74" t="s">
        <v>83</v>
      </c>
      <c r="C34" s="66" t="s">
        <v>10</v>
      </c>
      <c r="D34" s="86">
        <v>64</v>
      </c>
      <c r="E34" s="86">
        <f>1632-702</f>
        <v>930</v>
      </c>
      <c r="F34" s="54">
        <f t="shared" si="0"/>
        <v>13.53</v>
      </c>
    </row>
    <row r="35" spans="1:6" s="76" customFormat="1" ht="15" x14ac:dyDescent="0.25">
      <c r="A35" s="66" t="s">
        <v>142</v>
      </c>
      <c r="B35" s="74" t="s">
        <v>31</v>
      </c>
      <c r="C35" s="66" t="s">
        <v>10</v>
      </c>
      <c r="D35" s="86">
        <v>6106</v>
      </c>
      <c r="E35" s="86">
        <f>9246-4280</f>
        <v>4966</v>
      </c>
      <c r="F35" s="54">
        <f t="shared" si="0"/>
        <v>-0.19</v>
      </c>
    </row>
    <row r="36" spans="1:6" s="7" customFormat="1" ht="45.75" customHeight="1" x14ac:dyDescent="0.25">
      <c r="A36" s="66" t="s">
        <v>143</v>
      </c>
      <c r="B36" s="74" t="s">
        <v>235</v>
      </c>
      <c r="C36" s="66" t="s">
        <v>10</v>
      </c>
      <c r="D36" s="86">
        <v>35023</v>
      </c>
      <c r="E36" s="86">
        <f>12886-8455</f>
        <v>4431</v>
      </c>
      <c r="F36" s="54">
        <f t="shared" si="0"/>
        <v>-0.87</v>
      </c>
    </row>
    <row r="37" spans="1:6" s="7" customFormat="1" ht="15" x14ac:dyDescent="0.25">
      <c r="A37" s="66" t="s">
        <v>145</v>
      </c>
      <c r="B37" s="74" t="s">
        <v>146</v>
      </c>
      <c r="C37" s="66" t="s">
        <v>10</v>
      </c>
      <c r="D37" s="86">
        <v>4957</v>
      </c>
      <c r="E37" s="86">
        <f>5007-2526</f>
        <v>2481</v>
      </c>
      <c r="F37" s="54">
        <f t="shared" si="0"/>
        <v>-0.5</v>
      </c>
    </row>
    <row r="38" spans="1:6" s="7" customFormat="1" ht="15" x14ac:dyDescent="0.25">
      <c r="A38" s="66" t="s">
        <v>147</v>
      </c>
      <c r="B38" s="74" t="s">
        <v>35</v>
      </c>
      <c r="C38" s="66" t="s">
        <v>10</v>
      </c>
      <c r="D38" s="86">
        <v>6668</v>
      </c>
      <c r="E38" s="86">
        <f>37923-17400</f>
        <v>20523</v>
      </c>
      <c r="F38" s="54">
        <f t="shared" si="0"/>
        <v>2.08</v>
      </c>
    </row>
    <row r="39" spans="1:6" s="7" customFormat="1" ht="30" x14ac:dyDescent="0.25">
      <c r="A39" s="66" t="s">
        <v>148</v>
      </c>
      <c r="B39" s="74" t="s">
        <v>236</v>
      </c>
      <c r="C39" s="66" t="s">
        <v>10</v>
      </c>
      <c r="D39" s="86">
        <v>131790</v>
      </c>
      <c r="E39" s="86">
        <f>120683-58929</f>
        <v>61754</v>
      </c>
      <c r="F39" s="54">
        <f t="shared" si="0"/>
        <v>-0.53</v>
      </c>
    </row>
    <row r="40" spans="1:6" s="7" customFormat="1" ht="15" x14ac:dyDescent="0.25">
      <c r="A40" s="68" t="s">
        <v>23</v>
      </c>
      <c r="B40" s="69" t="s">
        <v>114</v>
      </c>
      <c r="C40" s="68" t="s">
        <v>10</v>
      </c>
      <c r="D40" s="70">
        <f>D41+D66+D75</f>
        <v>263436</v>
      </c>
      <c r="E40" s="70">
        <f>E41+E66</f>
        <v>116683</v>
      </c>
      <c r="F40" s="108">
        <f t="shared" si="0"/>
        <v>-0.56000000000000005</v>
      </c>
    </row>
    <row r="41" spans="1:6" s="7" customFormat="1" ht="30" x14ac:dyDescent="0.25">
      <c r="A41" s="87" t="s">
        <v>68</v>
      </c>
      <c r="B41" s="72" t="s">
        <v>115</v>
      </c>
      <c r="C41" s="87" t="s">
        <v>10</v>
      </c>
      <c r="D41" s="83">
        <f>SUM(D42:D65)-D48-D44-D45-D46</f>
        <v>139320</v>
      </c>
      <c r="E41" s="83">
        <f>E42+E43+E47+E48</f>
        <v>35685</v>
      </c>
      <c r="F41" s="127">
        <f t="shared" si="0"/>
        <v>-0.74</v>
      </c>
    </row>
    <row r="42" spans="1:6" s="7" customFormat="1" ht="30" x14ac:dyDescent="0.25">
      <c r="A42" s="66" t="s">
        <v>69</v>
      </c>
      <c r="B42" s="88" t="s">
        <v>134</v>
      </c>
      <c r="C42" s="3" t="s">
        <v>10</v>
      </c>
      <c r="D42" s="86">
        <v>79684</v>
      </c>
      <c r="E42" s="86">
        <f>40642-18405</f>
        <v>22237</v>
      </c>
      <c r="F42" s="54">
        <f t="shared" si="0"/>
        <v>-0.72</v>
      </c>
    </row>
    <row r="43" spans="1:6" s="76" customFormat="1" ht="15" x14ac:dyDescent="0.25">
      <c r="A43" s="66" t="s">
        <v>71</v>
      </c>
      <c r="B43" s="88" t="s">
        <v>62</v>
      </c>
      <c r="C43" s="3" t="s">
        <v>10</v>
      </c>
      <c r="D43" s="86">
        <v>8765</v>
      </c>
      <c r="E43" s="86">
        <f>E44+E45+E46</f>
        <v>2135</v>
      </c>
      <c r="F43" s="54">
        <f t="shared" si="0"/>
        <v>-0.76</v>
      </c>
    </row>
    <row r="44" spans="1:6" s="76" customFormat="1" ht="15" x14ac:dyDescent="0.25">
      <c r="A44" s="66"/>
      <c r="B44" s="85" t="s">
        <v>216</v>
      </c>
      <c r="C44" s="3" t="s">
        <v>10</v>
      </c>
      <c r="D44" s="82">
        <v>6112</v>
      </c>
      <c r="E44" s="89">
        <f>2738-1237</f>
        <v>1501</v>
      </c>
      <c r="F44" s="54">
        <f t="shared" si="0"/>
        <v>-0.75</v>
      </c>
    </row>
    <row r="45" spans="1:6" s="76" customFormat="1" ht="15" x14ac:dyDescent="0.25">
      <c r="A45" s="66"/>
      <c r="B45" s="28" t="s">
        <v>230</v>
      </c>
      <c r="C45" s="3" t="s">
        <v>10</v>
      </c>
      <c r="D45" s="82">
        <v>1749</v>
      </c>
      <c r="E45" s="89">
        <f>771-354</f>
        <v>417</v>
      </c>
      <c r="F45" s="54">
        <f t="shared" si="0"/>
        <v>-0.76</v>
      </c>
    </row>
    <row r="46" spans="1:6" s="76" customFormat="1" ht="15" x14ac:dyDescent="0.25">
      <c r="A46" s="66"/>
      <c r="B46" s="28" t="s">
        <v>231</v>
      </c>
      <c r="C46" s="3" t="s">
        <v>10</v>
      </c>
      <c r="D46" s="82">
        <v>904</v>
      </c>
      <c r="E46" s="89">
        <f>400-183</f>
        <v>217</v>
      </c>
      <c r="F46" s="54">
        <f t="shared" si="0"/>
        <v>-0.76</v>
      </c>
    </row>
    <row r="47" spans="1:6" s="7" customFormat="1" ht="15" x14ac:dyDescent="0.25">
      <c r="A47" s="66" t="s">
        <v>72</v>
      </c>
      <c r="B47" s="88" t="s">
        <v>22</v>
      </c>
      <c r="C47" s="3" t="s">
        <v>10</v>
      </c>
      <c r="D47" s="86">
        <v>10307</v>
      </c>
      <c r="E47" s="86">
        <f>6940-3597</f>
        <v>3343</v>
      </c>
      <c r="F47" s="54">
        <f t="shared" si="0"/>
        <v>-0.68</v>
      </c>
    </row>
    <row r="48" spans="1:6" s="7" customFormat="1" ht="15" x14ac:dyDescent="0.25">
      <c r="A48" s="80" t="s">
        <v>73</v>
      </c>
      <c r="B48" s="48" t="s">
        <v>117</v>
      </c>
      <c r="C48" s="3" t="s">
        <v>10</v>
      </c>
      <c r="D48" s="90">
        <f>SUM(D49:D65)</f>
        <v>40564</v>
      </c>
      <c r="E48" s="90">
        <f>SUM(E49:E65)</f>
        <v>7970</v>
      </c>
      <c r="F48" s="115">
        <f t="shared" si="0"/>
        <v>-0.8</v>
      </c>
    </row>
    <row r="49" spans="1:6" s="7" customFormat="1" ht="15" x14ac:dyDescent="0.25">
      <c r="A49" s="66" t="s">
        <v>74</v>
      </c>
      <c r="B49" s="88" t="s">
        <v>25</v>
      </c>
      <c r="C49" s="3" t="s">
        <v>10</v>
      </c>
      <c r="D49" s="86">
        <v>4490</v>
      </c>
      <c r="E49" s="86">
        <f>683-317</f>
        <v>366</v>
      </c>
      <c r="F49" s="54">
        <f t="shared" si="0"/>
        <v>-0.92</v>
      </c>
    </row>
    <row r="50" spans="1:6" s="7" customFormat="1" ht="30" customHeight="1" x14ac:dyDescent="0.25">
      <c r="A50" s="66" t="s">
        <v>75</v>
      </c>
      <c r="B50" s="88" t="s">
        <v>26</v>
      </c>
      <c r="C50" s="3" t="s">
        <v>10</v>
      </c>
      <c r="D50" s="86">
        <v>0</v>
      </c>
      <c r="E50" s="86">
        <f>557-0</f>
        <v>557</v>
      </c>
      <c r="F50" s="54">
        <v>0</v>
      </c>
    </row>
    <row r="51" spans="1:6" s="7" customFormat="1" ht="15" x14ac:dyDescent="0.25">
      <c r="A51" s="66" t="s">
        <v>75</v>
      </c>
      <c r="B51" s="88" t="s">
        <v>27</v>
      </c>
      <c r="C51" s="3" t="s">
        <v>10</v>
      </c>
      <c r="D51" s="86">
        <v>566</v>
      </c>
      <c r="E51" s="86">
        <f>455-209</f>
        <v>246</v>
      </c>
      <c r="F51" s="54">
        <f t="shared" si="0"/>
        <v>-0.56999999999999995</v>
      </c>
    </row>
    <row r="52" spans="1:6" s="7" customFormat="1" ht="15" x14ac:dyDescent="0.25">
      <c r="A52" s="66" t="s">
        <v>76</v>
      </c>
      <c r="B52" s="88" t="s">
        <v>48</v>
      </c>
      <c r="C52" s="3" t="s">
        <v>10</v>
      </c>
      <c r="D52" s="86">
        <v>0</v>
      </c>
      <c r="E52" s="86">
        <f>48-48</f>
        <v>0</v>
      </c>
      <c r="F52" s="54">
        <v>0</v>
      </c>
    </row>
    <row r="53" spans="1:6" s="7" customFormat="1" ht="15" x14ac:dyDescent="0.25">
      <c r="A53" s="66" t="s">
        <v>77</v>
      </c>
      <c r="B53" s="88" t="s">
        <v>28</v>
      </c>
      <c r="C53" s="3" t="s">
        <v>10</v>
      </c>
      <c r="D53" s="86">
        <v>0</v>
      </c>
      <c r="E53" s="86">
        <f>537-228</f>
        <v>309</v>
      </c>
      <c r="F53" s="54">
        <v>0</v>
      </c>
    </row>
    <row r="54" spans="1:6" s="7" customFormat="1" ht="30" x14ac:dyDescent="0.25">
      <c r="A54" s="66" t="s">
        <v>78</v>
      </c>
      <c r="B54" s="88" t="s">
        <v>149</v>
      </c>
      <c r="C54" s="3" t="s">
        <v>10</v>
      </c>
      <c r="D54" s="86">
        <v>443</v>
      </c>
      <c r="E54" s="86">
        <f>304-85</f>
        <v>219</v>
      </c>
      <c r="F54" s="54">
        <f t="shared" si="0"/>
        <v>-0.51</v>
      </c>
    </row>
    <row r="55" spans="1:6" s="7" customFormat="1" ht="15" x14ac:dyDescent="0.25">
      <c r="A55" s="66" t="s">
        <v>79</v>
      </c>
      <c r="B55" s="88" t="s">
        <v>150</v>
      </c>
      <c r="C55" s="3" t="s">
        <v>10</v>
      </c>
      <c r="D55" s="86">
        <v>1239</v>
      </c>
      <c r="E55" s="86">
        <f>36-11</f>
        <v>25</v>
      </c>
      <c r="F55" s="54">
        <f t="shared" si="0"/>
        <v>-0.98</v>
      </c>
    </row>
    <row r="56" spans="1:6" s="7" customFormat="1" ht="15" x14ac:dyDescent="0.25">
      <c r="A56" s="66" t="s">
        <v>80</v>
      </c>
      <c r="B56" s="88" t="s">
        <v>30</v>
      </c>
      <c r="C56" s="3" t="s">
        <v>10</v>
      </c>
      <c r="D56" s="86">
        <v>493</v>
      </c>
      <c r="E56" s="86">
        <v>0</v>
      </c>
      <c r="F56" s="54">
        <v>0</v>
      </c>
    </row>
    <row r="57" spans="1:6" s="7" customFormat="1" ht="30" x14ac:dyDescent="0.25">
      <c r="A57" s="66" t="s">
        <v>81</v>
      </c>
      <c r="B57" s="88" t="s">
        <v>83</v>
      </c>
      <c r="C57" s="3" t="s">
        <v>10</v>
      </c>
      <c r="D57" s="86">
        <v>432</v>
      </c>
      <c r="E57" s="86">
        <f>717-356</f>
        <v>361</v>
      </c>
      <c r="F57" s="54">
        <f t="shared" si="0"/>
        <v>-0.16</v>
      </c>
    </row>
    <row r="58" spans="1:6" s="7" customFormat="1" ht="16.5" customHeight="1" x14ac:dyDescent="0.25">
      <c r="A58" s="66" t="s">
        <v>82</v>
      </c>
      <c r="B58" s="88" t="s">
        <v>31</v>
      </c>
      <c r="C58" s="3" t="s">
        <v>10</v>
      </c>
      <c r="D58" s="86">
        <v>48</v>
      </c>
      <c r="E58" s="86">
        <f>38-32</f>
        <v>6</v>
      </c>
      <c r="F58" s="54">
        <f t="shared" si="0"/>
        <v>-0.88</v>
      </c>
    </row>
    <row r="59" spans="1:6" s="7" customFormat="1" ht="18" customHeight="1" x14ac:dyDescent="0.25">
      <c r="A59" s="66" t="s">
        <v>84</v>
      </c>
      <c r="B59" s="88" t="s">
        <v>32</v>
      </c>
      <c r="C59" s="3" t="s">
        <v>10</v>
      </c>
      <c r="D59" s="86">
        <v>4856</v>
      </c>
      <c r="E59" s="86">
        <f>3767-1631</f>
        <v>2136</v>
      </c>
      <c r="F59" s="54">
        <f t="shared" si="0"/>
        <v>-0.56000000000000005</v>
      </c>
    </row>
    <row r="60" spans="1:6" s="7" customFormat="1" ht="14.25" customHeight="1" x14ac:dyDescent="0.25">
      <c r="A60" s="66" t="s">
        <v>85</v>
      </c>
      <c r="B60" s="88" t="s">
        <v>151</v>
      </c>
      <c r="C60" s="3" t="s">
        <v>10</v>
      </c>
      <c r="D60" s="86">
        <v>462</v>
      </c>
      <c r="E60" s="86">
        <f>257-125</f>
        <v>132</v>
      </c>
      <c r="F60" s="54">
        <f t="shared" si="0"/>
        <v>-0.71</v>
      </c>
    </row>
    <row r="61" spans="1:6" s="76" customFormat="1" ht="15" customHeight="1" x14ac:dyDescent="0.25">
      <c r="A61" s="66" t="s">
        <v>86</v>
      </c>
      <c r="B61" s="88" t="s">
        <v>34</v>
      </c>
      <c r="C61" s="3" t="s">
        <v>10</v>
      </c>
      <c r="D61" s="86">
        <v>6</v>
      </c>
      <c r="E61" s="86">
        <v>0</v>
      </c>
      <c r="F61" s="54">
        <v>0</v>
      </c>
    </row>
    <row r="62" spans="1:6" s="7" customFormat="1" ht="18" customHeight="1" x14ac:dyDescent="0.25">
      <c r="A62" s="66" t="s">
        <v>87</v>
      </c>
      <c r="B62" s="88" t="s">
        <v>121</v>
      </c>
      <c r="C62" s="3" t="s">
        <v>10</v>
      </c>
      <c r="D62" s="86">
        <v>4482</v>
      </c>
      <c r="E62" s="86">
        <f>3095-1286</f>
        <v>1809</v>
      </c>
      <c r="F62" s="54">
        <f t="shared" si="0"/>
        <v>-0.6</v>
      </c>
    </row>
    <row r="63" spans="1:6" s="7" customFormat="1" ht="16.5" customHeight="1" x14ac:dyDescent="0.25">
      <c r="A63" s="66" t="s">
        <v>88</v>
      </c>
      <c r="B63" s="88" t="s">
        <v>35</v>
      </c>
      <c r="C63" s="3" t="s">
        <v>10</v>
      </c>
      <c r="D63" s="86">
        <v>3373</v>
      </c>
      <c r="E63" s="86">
        <f>1394-279</f>
        <v>1115</v>
      </c>
      <c r="F63" s="54">
        <f t="shared" si="0"/>
        <v>-0.67</v>
      </c>
    </row>
    <row r="64" spans="1:6" s="7" customFormat="1" ht="18" customHeight="1" x14ac:dyDescent="0.25">
      <c r="A64" s="66" t="s">
        <v>89</v>
      </c>
      <c r="B64" s="88" t="s">
        <v>36</v>
      </c>
      <c r="C64" s="3" t="s">
        <v>10</v>
      </c>
      <c r="D64" s="86">
        <v>800</v>
      </c>
      <c r="E64" s="86">
        <f>871-374</f>
        <v>497</v>
      </c>
      <c r="F64" s="54">
        <f t="shared" si="0"/>
        <v>-0.38</v>
      </c>
    </row>
    <row r="65" spans="1:7" s="7" customFormat="1" ht="15" customHeight="1" x14ac:dyDescent="0.25">
      <c r="A65" s="66" t="s">
        <v>90</v>
      </c>
      <c r="B65" s="88" t="s">
        <v>37</v>
      </c>
      <c r="C65" s="3" t="s">
        <v>10</v>
      </c>
      <c r="D65" s="86">
        <v>18874</v>
      </c>
      <c r="E65" s="86">
        <f>844-652</f>
        <v>192</v>
      </c>
      <c r="F65" s="54">
        <f>E65/D65-1</f>
        <v>-0.99</v>
      </c>
    </row>
    <row r="66" spans="1:7" s="7" customFormat="1" ht="30" x14ac:dyDescent="0.25">
      <c r="A66" s="68">
        <v>7</v>
      </c>
      <c r="B66" s="72" t="s">
        <v>237</v>
      </c>
      <c r="C66" s="71" t="s">
        <v>10</v>
      </c>
      <c r="D66" s="83">
        <f>D67+D68+D72+D73+D74</f>
        <v>124116</v>
      </c>
      <c r="E66" s="83">
        <f>E67+E68+E72+E73+E74</f>
        <v>80998</v>
      </c>
      <c r="F66" s="127">
        <f t="shared" si="0"/>
        <v>-0.35</v>
      </c>
    </row>
    <row r="67" spans="1:7" s="7" customFormat="1" ht="30" x14ac:dyDescent="0.25">
      <c r="A67" s="91" t="s">
        <v>152</v>
      </c>
      <c r="B67" s="92" t="s">
        <v>134</v>
      </c>
      <c r="C67" s="66" t="s">
        <v>10</v>
      </c>
      <c r="D67" s="75">
        <v>84681</v>
      </c>
      <c r="E67" s="75">
        <f>28-28</f>
        <v>0</v>
      </c>
      <c r="F67" s="54">
        <f t="shared" si="0"/>
        <v>-1</v>
      </c>
    </row>
    <row r="68" spans="1:7" s="93" customFormat="1" ht="15" x14ac:dyDescent="0.25">
      <c r="A68" s="91" t="s">
        <v>153</v>
      </c>
      <c r="B68" s="88" t="s">
        <v>62</v>
      </c>
      <c r="C68" s="66" t="s">
        <v>10</v>
      </c>
      <c r="D68" s="75">
        <v>9315</v>
      </c>
      <c r="E68" s="75">
        <f>E69+E70+E71</f>
        <v>0</v>
      </c>
      <c r="F68" s="54">
        <f t="shared" si="0"/>
        <v>-1</v>
      </c>
    </row>
    <row r="69" spans="1:7" s="93" customFormat="1" ht="15" x14ac:dyDescent="0.25">
      <c r="A69" s="91"/>
      <c r="B69" s="85" t="s">
        <v>216</v>
      </c>
      <c r="C69" s="80" t="s">
        <v>10</v>
      </c>
      <c r="D69" s="82">
        <v>4990</v>
      </c>
      <c r="E69" s="82">
        <f>2-2</f>
        <v>0</v>
      </c>
      <c r="F69" s="115">
        <f>E69/D69-1</f>
        <v>-1</v>
      </c>
    </row>
    <row r="70" spans="1:7" s="93" customFormat="1" ht="15" x14ac:dyDescent="0.25">
      <c r="A70" s="91"/>
      <c r="B70" s="28" t="s">
        <v>230</v>
      </c>
      <c r="C70" s="80" t="s">
        <v>10</v>
      </c>
      <c r="D70" s="82">
        <v>2994</v>
      </c>
      <c r="E70" s="82">
        <f>1-1</f>
        <v>0</v>
      </c>
      <c r="F70" s="115">
        <f t="shared" si="0"/>
        <v>-1</v>
      </c>
    </row>
    <row r="71" spans="1:7" s="93" customFormat="1" ht="15" x14ac:dyDescent="0.25">
      <c r="A71" s="91"/>
      <c r="B71" s="28" t="s">
        <v>231</v>
      </c>
      <c r="C71" s="80" t="s">
        <v>10</v>
      </c>
      <c r="D71" s="82">
        <v>1331</v>
      </c>
      <c r="E71" s="82">
        <f>0.4-0.4</f>
        <v>0</v>
      </c>
      <c r="F71" s="115">
        <f t="shared" si="0"/>
        <v>-1</v>
      </c>
    </row>
    <row r="72" spans="1:7" s="76" customFormat="1" ht="15" x14ac:dyDescent="0.25">
      <c r="A72" s="91" t="s">
        <v>154</v>
      </c>
      <c r="B72" s="92" t="s">
        <v>137</v>
      </c>
      <c r="C72" s="66" t="s">
        <v>10</v>
      </c>
      <c r="D72" s="75">
        <v>3492</v>
      </c>
      <c r="E72" s="75">
        <v>0</v>
      </c>
      <c r="F72" s="54">
        <f t="shared" si="0"/>
        <v>-1</v>
      </c>
    </row>
    <row r="73" spans="1:7" s="76" customFormat="1" ht="15" x14ac:dyDescent="0.25">
      <c r="A73" s="91" t="s">
        <v>156</v>
      </c>
      <c r="B73" s="92" t="s">
        <v>238</v>
      </c>
      <c r="C73" s="66" t="s">
        <v>10</v>
      </c>
      <c r="D73" s="75">
        <v>4938</v>
      </c>
      <c r="E73" s="75">
        <v>0</v>
      </c>
      <c r="F73" s="54">
        <f>E73/D73-1</f>
        <v>-1</v>
      </c>
    </row>
    <row r="74" spans="1:7" s="7" customFormat="1" ht="15" x14ac:dyDescent="0.25">
      <c r="A74" s="91" t="s">
        <v>157</v>
      </c>
      <c r="B74" s="92" t="s">
        <v>158</v>
      </c>
      <c r="C74" s="66" t="s">
        <v>10</v>
      </c>
      <c r="D74" s="75">
        <v>21690</v>
      </c>
      <c r="E74" s="75">
        <f>165120-84122</f>
        <v>80998</v>
      </c>
      <c r="F74" s="54">
        <f t="shared" si="0"/>
        <v>2.73</v>
      </c>
    </row>
    <row r="75" spans="1:7" s="76" customFormat="1" ht="15.75" customHeight="1" x14ac:dyDescent="0.25">
      <c r="A75" s="94" t="s">
        <v>239</v>
      </c>
      <c r="B75" s="72" t="s">
        <v>38</v>
      </c>
      <c r="C75" s="71" t="s">
        <v>10</v>
      </c>
      <c r="D75" s="83">
        <v>0</v>
      </c>
      <c r="E75" s="83">
        <v>0</v>
      </c>
      <c r="F75" s="127">
        <v>0</v>
      </c>
    </row>
    <row r="76" spans="1:7" s="76" customFormat="1" ht="28.5" x14ac:dyDescent="0.25">
      <c r="A76" s="68" t="s">
        <v>39</v>
      </c>
      <c r="B76" s="95" t="s">
        <v>124</v>
      </c>
      <c r="C76" s="71" t="s">
        <v>10</v>
      </c>
      <c r="D76" s="70">
        <f>D40+D10</f>
        <v>2117972</v>
      </c>
      <c r="E76" s="70">
        <f>E10+E40</f>
        <v>1550658</v>
      </c>
      <c r="F76" s="108">
        <f t="shared" si="0"/>
        <v>-0.27</v>
      </c>
      <c r="G76" s="166"/>
    </row>
    <row r="77" spans="1:7" s="76" customFormat="1" ht="15" x14ac:dyDescent="0.25">
      <c r="A77" s="68" t="s">
        <v>41</v>
      </c>
      <c r="B77" s="95" t="s">
        <v>125</v>
      </c>
      <c r="C77" s="71" t="s">
        <v>10</v>
      </c>
      <c r="D77" s="70">
        <v>59324</v>
      </c>
      <c r="E77" s="70">
        <f>E79-E76</f>
        <v>-433063</v>
      </c>
      <c r="F77" s="108">
        <f t="shared" si="0"/>
        <v>-8.3000000000000007</v>
      </c>
      <c r="G77" s="166"/>
    </row>
    <row r="78" spans="1:7" s="76" customFormat="1" ht="30" x14ac:dyDescent="0.25">
      <c r="A78" s="96" t="s">
        <v>42</v>
      </c>
      <c r="B78" s="97" t="s">
        <v>240</v>
      </c>
      <c r="C78" s="68" t="s">
        <v>10</v>
      </c>
      <c r="D78" s="82">
        <v>794916</v>
      </c>
      <c r="E78" s="82" t="s">
        <v>242</v>
      </c>
      <c r="F78" s="115">
        <v>0</v>
      </c>
    </row>
    <row r="79" spans="1:7" s="76" customFormat="1" ht="15" x14ac:dyDescent="0.25">
      <c r="A79" s="33" t="s">
        <v>44</v>
      </c>
      <c r="B79" s="69" t="s">
        <v>43</v>
      </c>
      <c r="C79" s="68" t="s">
        <v>10</v>
      </c>
      <c r="D79" s="70">
        <f>D76+D77</f>
        <v>2177296</v>
      </c>
      <c r="E79" s="70">
        <f>'доход 2019'!BG11/1000</f>
        <v>1117595</v>
      </c>
      <c r="F79" s="108">
        <f t="shared" si="0"/>
        <v>-0.49</v>
      </c>
    </row>
    <row r="80" spans="1:7" s="7" customFormat="1" ht="28.5" x14ac:dyDescent="0.25">
      <c r="A80" s="98" t="s">
        <v>50</v>
      </c>
      <c r="B80" s="95" t="s">
        <v>241</v>
      </c>
      <c r="C80" s="68" t="s">
        <v>45</v>
      </c>
      <c r="D80" s="99">
        <v>10827.98</v>
      </c>
      <c r="E80" s="100">
        <f>'доход 2019'!BE11/1000</f>
        <v>7202.1009999999997</v>
      </c>
      <c r="F80" s="155">
        <f t="shared" si="0"/>
        <v>-0.33489999999999998</v>
      </c>
    </row>
    <row r="81" spans="1:6" s="7" customFormat="1" ht="15" x14ac:dyDescent="0.25">
      <c r="A81" s="101" t="s">
        <v>92</v>
      </c>
      <c r="B81" s="102" t="s">
        <v>128</v>
      </c>
      <c r="C81" s="168" t="s">
        <v>51</v>
      </c>
      <c r="D81" s="100" t="s">
        <v>242</v>
      </c>
      <c r="E81" s="100" t="s">
        <v>242</v>
      </c>
      <c r="F81" s="108" t="s">
        <v>100</v>
      </c>
    </row>
    <row r="82" spans="1:6" s="103" customFormat="1" ht="14.25" customHeight="1" x14ac:dyDescent="0.25">
      <c r="A82" s="33" t="s">
        <v>210</v>
      </c>
      <c r="B82" s="95" t="s">
        <v>243</v>
      </c>
      <c r="C82" s="68" t="s">
        <v>204</v>
      </c>
      <c r="D82" s="99">
        <f>D79/D80</f>
        <v>201.08</v>
      </c>
      <c r="E82" s="99">
        <f t="shared" ref="E82" si="1">E79/E80</f>
        <v>155.18</v>
      </c>
      <c r="F82" s="155">
        <f>E82/D82-1</f>
        <v>-0.2283</v>
      </c>
    </row>
    <row r="83" spans="1:6" ht="12" customHeight="1" x14ac:dyDescent="0.25">
      <c r="D83" s="62"/>
      <c r="E83" s="62"/>
      <c r="F83" s="62"/>
    </row>
    <row r="84" spans="1:6" ht="12" customHeight="1" x14ac:dyDescent="0.25">
      <c r="D84" s="62"/>
      <c r="E84" s="62"/>
      <c r="F84" s="62"/>
    </row>
    <row r="85" spans="1:6" ht="12" customHeight="1" x14ac:dyDescent="0.25">
      <c r="D85" s="62"/>
      <c r="E85" s="62"/>
      <c r="F85" s="62"/>
    </row>
    <row r="86" spans="1:6" ht="12" customHeight="1" x14ac:dyDescent="0.25">
      <c r="D86" s="62"/>
      <c r="E86" s="62"/>
      <c r="F86" s="62"/>
    </row>
    <row r="87" spans="1:6" ht="12" customHeight="1" x14ac:dyDescent="0.25">
      <c r="D87" s="62"/>
      <c r="E87" s="62"/>
      <c r="F87" s="62"/>
    </row>
    <row r="88" spans="1:6" ht="12" customHeight="1" x14ac:dyDescent="0.25">
      <c r="D88" s="62"/>
      <c r="E88" s="62"/>
      <c r="F88" s="62"/>
    </row>
    <row r="89" spans="1:6" ht="12" customHeight="1" x14ac:dyDescent="0.25">
      <c r="D89" s="62"/>
      <c r="E89" s="62"/>
      <c r="F89" s="62"/>
    </row>
    <row r="90" spans="1:6" ht="12" customHeight="1" x14ac:dyDescent="0.25">
      <c r="D90" s="62"/>
      <c r="E90" s="62"/>
      <c r="F90" s="62"/>
    </row>
    <row r="91" spans="1:6" ht="12" customHeight="1" x14ac:dyDescent="0.25">
      <c r="D91" s="62"/>
      <c r="E91" s="62"/>
      <c r="F91" s="62"/>
    </row>
    <row r="92" spans="1:6" ht="12" customHeight="1" x14ac:dyDescent="0.25">
      <c r="D92" s="62"/>
      <c r="E92" s="62"/>
      <c r="F92" s="62"/>
    </row>
    <row r="93" spans="1:6" ht="12" customHeight="1" x14ac:dyDescent="0.25">
      <c r="D93" s="62"/>
      <c r="E93" s="62"/>
      <c r="F93" s="62"/>
    </row>
    <row r="94" spans="1:6" ht="12" customHeight="1" x14ac:dyDescent="0.25">
      <c r="D94" s="62"/>
      <c r="E94" s="62"/>
      <c r="F94" s="62"/>
    </row>
    <row r="95" spans="1:6" ht="12" customHeight="1" x14ac:dyDescent="0.25">
      <c r="D95" s="62"/>
      <c r="E95" s="62"/>
      <c r="F95" s="62"/>
    </row>
    <row r="96" spans="1:6" ht="12" customHeight="1" x14ac:dyDescent="0.25">
      <c r="D96" s="62"/>
      <c r="E96" s="62"/>
      <c r="F96" s="62"/>
    </row>
    <row r="97" spans="4:6" ht="12" customHeight="1" x14ac:dyDescent="0.25">
      <c r="D97" s="62"/>
      <c r="E97" s="62"/>
      <c r="F97" s="62"/>
    </row>
    <row r="98" spans="4:6" ht="12" customHeight="1" x14ac:dyDescent="0.25">
      <c r="D98" s="62"/>
      <c r="E98" s="62"/>
      <c r="F98" s="62"/>
    </row>
    <row r="99" spans="4:6" ht="12" customHeight="1" x14ac:dyDescent="0.25">
      <c r="D99" s="62"/>
      <c r="E99" s="62"/>
      <c r="F99" s="62"/>
    </row>
    <row r="100" spans="4:6" ht="12" customHeight="1" x14ac:dyDescent="0.25">
      <c r="D100" s="62"/>
      <c r="E100" s="62"/>
      <c r="F100" s="62"/>
    </row>
    <row r="101" spans="4:6" ht="12" customHeight="1" x14ac:dyDescent="0.25">
      <c r="D101" s="62"/>
      <c r="E101" s="62"/>
      <c r="F101" s="62"/>
    </row>
    <row r="102" spans="4:6" ht="12" customHeight="1" x14ac:dyDescent="0.25">
      <c r="D102" s="62"/>
      <c r="E102" s="62"/>
      <c r="F102" s="62"/>
    </row>
    <row r="103" spans="4:6" ht="12" customHeight="1" x14ac:dyDescent="0.25">
      <c r="D103" s="62"/>
      <c r="E103" s="62"/>
      <c r="F103" s="62"/>
    </row>
    <row r="104" spans="4:6" ht="12" customHeight="1" x14ac:dyDescent="0.25">
      <c r="D104" s="62"/>
      <c r="E104" s="62"/>
      <c r="F104" s="62"/>
    </row>
    <row r="105" spans="4:6" ht="12" customHeight="1" x14ac:dyDescent="0.25">
      <c r="D105" s="62"/>
      <c r="E105" s="62"/>
      <c r="F105" s="62"/>
    </row>
  </sheetData>
  <mergeCells count="5">
    <mergeCell ref="A5:F5"/>
    <mergeCell ref="A6:F6"/>
    <mergeCell ref="E2:F2"/>
    <mergeCell ref="E3:F3"/>
    <mergeCell ref="E4:F4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0" orientation="portrait" r:id="rId1"/>
  <rowBreaks count="1" manualBreakCount="1"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2" zoomScaleNormal="100" zoomScaleSheetLayoutView="100" workbookViewId="0">
      <selection activeCell="D114" sqref="D114"/>
    </sheetView>
  </sheetViews>
  <sheetFormatPr defaultRowHeight="15" x14ac:dyDescent="0.25"/>
  <cols>
    <col min="1" max="1" width="7" style="105" customWidth="1"/>
    <col min="2" max="2" width="38.85546875" style="105" customWidth="1"/>
    <col min="3" max="3" width="10.85546875" style="104" customWidth="1"/>
    <col min="4" max="4" width="15.7109375" style="105" customWidth="1"/>
    <col min="5" max="5" width="16.28515625" style="105" customWidth="1"/>
    <col min="6" max="6" width="14.42578125" style="105" customWidth="1"/>
    <col min="7" max="7" width="11.42578125" style="110" bestFit="1" customWidth="1"/>
    <col min="8" max="16384" width="9.140625" style="110"/>
  </cols>
  <sheetData>
    <row r="1" spans="1:6" ht="12.75" hidden="1" customHeight="1" x14ac:dyDescent="0.25"/>
    <row r="2" spans="1:6" ht="12.75" customHeight="1" x14ac:dyDescent="0.25">
      <c r="B2" s="106"/>
      <c r="E2" s="458" t="s">
        <v>244</v>
      </c>
      <c r="F2" s="458"/>
    </row>
    <row r="3" spans="1:6" ht="12.75" customHeight="1" x14ac:dyDescent="0.25">
      <c r="E3" s="458" t="s">
        <v>220</v>
      </c>
      <c r="F3" s="458"/>
    </row>
    <row r="4" spans="1:6" ht="54" customHeight="1" x14ac:dyDescent="0.25">
      <c r="E4" s="458" t="s">
        <v>316</v>
      </c>
      <c r="F4" s="458"/>
    </row>
    <row r="5" spans="1:6" ht="15" customHeight="1" x14ac:dyDescent="0.25">
      <c r="E5" s="458"/>
      <c r="F5" s="458"/>
    </row>
    <row r="6" spans="1:6" x14ac:dyDescent="0.25">
      <c r="F6" s="167"/>
    </row>
    <row r="7" spans="1:6" ht="14.25" customHeight="1" x14ac:dyDescent="0.25">
      <c r="A7" s="459" t="s">
        <v>941</v>
      </c>
      <c r="B7" s="459"/>
      <c r="C7" s="459"/>
      <c r="D7" s="459"/>
      <c r="E7" s="459"/>
      <c r="F7" s="459"/>
    </row>
    <row r="8" spans="1:6" ht="14.25" customHeight="1" x14ac:dyDescent="0.25">
      <c r="A8" s="454" t="s">
        <v>245</v>
      </c>
      <c r="B8" s="454"/>
      <c r="C8" s="454"/>
      <c r="D8" s="454"/>
      <c r="E8" s="454"/>
      <c r="F8" s="454"/>
    </row>
    <row r="9" spans="1:6" ht="14.25" customHeight="1" x14ac:dyDescent="0.25">
      <c r="A9" s="455" t="s">
        <v>943</v>
      </c>
      <c r="B9" s="455"/>
      <c r="C9" s="455"/>
      <c r="D9" s="455"/>
      <c r="E9" s="455"/>
      <c r="F9" s="455"/>
    </row>
    <row r="10" spans="1:6" ht="16.5" customHeight="1" x14ac:dyDescent="0.25"/>
    <row r="11" spans="1:6" ht="88.5" customHeight="1" x14ac:dyDescent="0.25">
      <c r="A11" s="64" t="s">
        <v>2</v>
      </c>
      <c r="B11" s="64" t="s">
        <v>133</v>
      </c>
      <c r="C11" s="64" t="s">
        <v>5</v>
      </c>
      <c r="D11" s="65" t="s">
        <v>317</v>
      </c>
      <c r="E11" s="170" t="s">
        <v>942</v>
      </c>
      <c r="F11" s="26" t="s">
        <v>246</v>
      </c>
    </row>
    <row r="12" spans="1:6" x14ac:dyDescent="0.25">
      <c r="A12" s="64">
        <v>1</v>
      </c>
      <c r="B12" s="64">
        <v>2</v>
      </c>
      <c r="C12" s="64">
        <v>3</v>
      </c>
      <c r="D12" s="64">
        <v>4</v>
      </c>
      <c r="E12" s="64">
        <v>5</v>
      </c>
      <c r="F12" s="26" t="s">
        <v>247</v>
      </c>
    </row>
    <row r="13" spans="1:6" s="177" customFormat="1" ht="34.5" customHeight="1" x14ac:dyDescent="0.25">
      <c r="A13" s="107" t="s">
        <v>6</v>
      </c>
      <c r="B13" s="95" t="s">
        <v>248</v>
      </c>
      <c r="C13" s="107" t="s">
        <v>8</v>
      </c>
      <c r="D13" s="32">
        <f>D14+D22+D29+D30+D32</f>
        <v>236203</v>
      </c>
      <c r="E13" s="32">
        <f>E14+E22+E29+E30+E32</f>
        <v>218722</v>
      </c>
      <c r="F13" s="108">
        <f>E13/D13-1</f>
        <v>-7.0000000000000007E-2</v>
      </c>
    </row>
    <row r="14" spans="1:6" s="177" customFormat="1" ht="14.25" customHeight="1" x14ac:dyDescent="0.25">
      <c r="A14" s="107">
        <v>1</v>
      </c>
      <c r="B14" s="95" t="s">
        <v>249</v>
      </c>
      <c r="C14" s="107"/>
      <c r="D14" s="32">
        <f>SUM(D15:D19)</f>
        <v>116657</v>
      </c>
      <c r="E14" s="32">
        <f>E15+E16+E17+E18+E19</f>
        <v>113359</v>
      </c>
      <c r="F14" s="108">
        <f>E14/D14-1</f>
        <v>-0.03</v>
      </c>
    </row>
    <row r="15" spans="1:6" x14ac:dyDescent="0.25">
      <c r="A15" s="109" t="s">
        <v>46</v>
      </c>
      <c r="B15" s="77" t="s">
        <v>250</v>
      </c>
      <c r="C15" s="168" t="s">
        <v>93</v>
      </c>
      <c r="D15" s="4">
        <v>8087</v>
      </c>
      <c r="E15" s="4">
        <f>29261-11807</f>
        <v>17454</v>
      </c>
      <c r="F15" s="54">
        <f>E15/D15-1</f>
        <v>1.1599999999999999</v>
      </c>
    </row>
    <row r="16" spans="1:6" ht="12.75" customHeight="1" x14ac:dyDescent="0.25">
      <c r="A16" s="109" t="s">
        <v>56</v>
      </c>
      <c r="B16" s="77" t="s">
        <v>57</v>
      </c>
      <c r="C16" s="168" t="s">
        <v>93</v>
      </c>
      <c r="D16" s="4">
        <v>0</v>
      </c>
      <c r="E16" s="4">
        <v>0</v>
      </c>
      <c r="F16" s="54">
        <v>0</v>
      </c>
    </row>
    <row r="17" spans="1:6" x14ac:dyDescent="0.25">
      <c r="A17" s="109" t="s">
        <v>98</v>
      </c>
      <c r="B17" s="77" t="s">
        <v>228</v>
      </c>
      <c r="C17" s="168" t="s">
        <v>93</v>
      </c>
      <c r="D17" s="4">
        <v>352</v>
      </c>
      <c r="E17" s="4">
        <f>475-232</f>
        <v>243</v>
      </c>
      <c r="F17" s="54">
        <f t="shared" ref="F17:F85" si="0">E17/D17-1</f>
        <v>-0.31</v>
      </c>
    </row>
    <row r="18" spans="1:6" ht="13.5" customHeight="1" x14ac:dyDescent="0.25">
      <c r="A18" s="109" t="s">
        <v>58</v>
      </c>
      <c r="B18" s="77" t="s">
        <v>251</v>
      </c>
      <c r="C18" s="168" t="s">
        <v>93</v>
      </c>
      <c r="D18" s="4">
        <v>0</v>
      </c>
      <c r="E18" s="4">
        <v>0</v>
      </c>
      <c r="F18" s="54">
        <v>0</v>
      </c>
    </row>
    <row r="19" spans="1:6" ht="30" x14ac:dyDescent="0.25">
      <c r="A19" s="109" t="s">
        <v>59</v>
      </c>
      <c r="B19" s="77" t="s">
        <v>60</v>
      </c>
      <c r="C19" s="168" t="s">
        <v>93</v>
      </c>
      <c r="D19" s="4">
        <f t="shared" ref="D19" si="1">SUM(D20:D21)</f>
        <v>108218</v>
      </c>
      <c r="E19" s="4">
        <f>E20+E21</f>
        <v>95662</v>
      </c>
      <c r="F19" s="54">
        <f>E19/D19-1</f>
        <v>-0.12</v>
      </c>
    </row>
    <row r="20" spans="1:6" s="116" customFormat="1" ht="15.75" customHeight="1" x14ac:dyDescent="0.25">
      <c r="A20" s="111" t="s">
        <v>205</v>
      </c>
      <c r="B20" s="112" t="s">
        <v>252</v>
      </c>
      <c r="C20" s="113" t="s">
        <v>93</v>
      </c>
      <c r="D20" s="114">
        <v>67827</v>
      </c>
      <c r="E20" s="114">
        <f>129147-52326</f>
        <v>76821</v>
      </c>
      <c r="F20" s="115">
        <f t="shared" si="0"/>
        <v>0.13</v>
      </c>
    </row>
    <row r="21" spans="1:6" s="116" customFormat="1" ht="15.75" customHeight="1" x14ac:dyDescent="0.25">
      <c r="A21" s="111" t="s">
        <v>206</v>
      </c>
      <c r="B21" s="112" t="s">
        <v>253</v>
      </c>
      <c r="C21" s="113" t="s">
        <v>93</v>
      </c>
      <c r="D21" s="114">
        <v>40391</v>
      </c>
      <c r="E21" s="114">
        <f>41646-22805</f>
        <v>18841</v>
      </c>
      <c r="F21" s="115">
        <f t="shared" si="0"/>
        <v>-0.53</v>
      </c>
    </row>
    <row r="22" spans="1:6" s="177" customFormat="1" ht="15.75" customHeight="1" x14ac:dyDescent="0.25">
      <c r="A22" s="107">
        <v>2</v>
      </c>
      <c r="B22" s="95" t="s">
        <v>254</v>
      </c>
      <c r="C22" s="168" t="s">
        <v>93</v>
      </c>
      <c r="D22" s="32">
        <f>D23+D24</f>
        <v>91273</v>
      </c>
      <c r="E22" s="32">
        <f>E23+E24</f>
        <v>52632</v>
      </c>
      <c r="F22" s="108">
        <f t="shared" si="0"/>
        <v>-0.42</v>
      </c>
    </row>
    <row r="23" spans="1:6" ht="30" x14ac:dyDescent="0.25">
      <c r="A23" s="109" t="s">
        <v>106</v>
      </c>
      <c r="B23" s="77" t="s">
        <v>61</v>
      </c>
      <c r="C23" s="168" t="s">
        <v>93</v>
      </c>
      <c r="D23" s="4">
        <v>82228</v>
      </c>
      <c r="E23" s="4">
        <f>90114-42294</f>
        <v>47820</v>
      </c>
      <c r="F23" s="54">
        <f t="shared" si="0"/>
        <v>-0.42</v>
      </c>
    </row>
    <row r="24" spans="1:6" ht="13.5" customHeight="1" x14ac:dyDescent="0.25">
      <c r="A24" s="109" t="s">
        <v>47</v>
      </c>
      <c r="B24" s="77" t="s">
        <v>141</v>
      </c>
      <c r="C24" s="168" t="s">
        <v>93</v>
      </c>
      <c r="D24" s="4">
        <v>9045</v>
      </c>
      <c r="E24" s="4">
        <f>SUM(E25:E28)</f>
        <v>4812</v>
      </c>
      <c r="F24" s="54">
        <f t="shared" si="0"/>
        <v>-0.47</v>
      </c>
    </row>
    <row r="25" spans="1:6" s="116" customFormat="1" ht="13.5" customHeight="1" x14ac:dyDescent="0.25">
      <c r="A25" s="111"/>
      <c r="B25" s="85" t="s">
        <v>216</v>
      </c>
      <c r="C25" s="113" t="s">
        <v>93</v>
      </c>
      <c r="D25" s="82">
        <v>4997</v>
      </c>
      <c r="E25" s="114">
        <f>5119-2361</f>
        <v>2758</v>
      </c>
      <c r="F25" s="115">
        <f t="shared" si="0"/>
        <v>-0.45</v>
      </c>
    </row>
    <row r="26" spans="1:6" s="116" customFormat="1" ht="13.5" customHeight="1" x14ac:dyDescent="0.25">
      <c r="A26" s="111"/>
      <c r="B26" s="28" t="s">
        <v>230</v>
      </c>
      <c r="C26" s="113" t="s">
        <v>93</v>
      </c>
      <c r="D26" s="82">
        <v>2660</v>
      </c>
      <c r="E26" s="114">
        <f>2592-1257</f>
        <v>1335</v>
      </c>
      <c r="F26" s="115">
        <f t="shared" si="0"/>
        <v>-0.5</v>
      </c>
    </row>
    <row r="27" spans="1:6" s="116" customFormat="1" ht="13.5" customHeight="1" x14ac:dyDescent="0.25">
      <c r="A27" s="111"/>
      <c r="B27" s="28" t="s">
        <v>231</v>
      </c>
      <c r="C27" s="113" t="s">
        <v>93</v>
      </c>
      <c r="D27" s="82">
        <v>1316</v>
      </c>
      <c r="E27" s="114">
        <f>1301-622</f>
        <v>679</v>
      </c>
      <c r="F27" s="115">
        <f t="shared" si="0"/>
        <v>-0.48</v>
      </c>
    </row>
    <row r="28" spans="1:6" s="116" customFormat="1" ht="13.5" customHeight="1" x14ac:dyDescent="0.25">
      <c r="A28" s="111"/>
      <c r="B28" s="28" t="s">
        <v>232</v>
      </c>
      <c r="C28" s="113" t="s">
        <v>93</v>
      </c>
      <c r="D28" s="82">
        <v>72</v>
      </c>
      <c r="E28" s="114">
        <f>74-34</f>
        <v>40</v>
      </c>
      <c r="F28" s="115">
        <f t="shared" si="0"/>
        <v>-0.44</v>
      </c>
    </row>
    <row r="29" spans="1:6" s="177" customFormat="1" ht="12.75" customHeight="1" x14ac:dyDescent="0.25">
      <c r="A29" s="107">
        <v>3</v>
      </c>
      <c r="B29" s="95" t="s">
        <v>18</v>
      </c>
      <c r="C29" s="168" t="s">
        <v>93</v>
      </c>
      <c r="D29" s="32">
        <v>4759</v>
      </c>
      <c r="E29" s="32">
        <f>34268-4359</f>
        <v>29909</v>
      </c>
      <c r="F29" s="108">
        <f t="shared" si="0"/>
        <v>5.28</v>
      </c>
    </row>
    <row r="30" spans="1:6" s="177" customFormat="1" x14ac:dyDescent="0.25">
      <c r="A30" s="107">
        <v>4</v>
      </c>
      <c r="B30" s="95" t="s">
        <v>255</v>
      </c>
      <c r="C30" s="168" t="s">
        <v>93</v>
      </c>
      <c r="D30" s="32">
        <v>0</v>
      </c>
      <c r="E30" s="32">
        <f>10969-6055</f>
        <v>4914</v>
      </c>
      <c r="F30" s="108">
        <v>0</v>
      </c>
    </row>
    <row r="31" spans="1:6" ht="31.5" customHeight="1" x14ac:dyDescent="0.25">
      <c r="A31" s="109" t="s">
        <v>109</v>
      </c>
      <c r="B31" s="77" t="s">
        <v>110</v>
      </c>
      <c r="C31" s="168" t="s">
        <v>93</v>
      </c>
      <c r="D31" s="4">
        <v>0</v>
      </c>
      <c r="E31" s="4">
        <f>10969-6055</f>
        <v>4914</v>
      </c>
      <c r="F31" s="54">
        <v>0</v>
      </c>
    </row>
    <row r="32" spans="1:6" s="177" customFormat="1" ht="15" customHeight="1" x14ac:dyDescent="0.25">
      <c r="A32" s="107">
        <v>5</v>
      </c>
      <c r="B32" s="95" t="s">
        <v>256</v>
      </c>
      <c r="C32" s="168" t="s">
        <v>93</v>
      </c>
      <c r="D32" s="32">
        <f>SUM(D33:D41)</f>
        <v>23514</v>
      </c>
      <c r="E32" s="32">
        <f>SUM(E33:E41)</f>
        <v>17908</v>
      </c>
      <c r="F32" s="108">
        <f t="shared" si="0"/>
        <v>-0.24</v>
      </c>
    </row>
    <row r="33" spans="1:6" ht="14.25" customHeight="1" x14ac:dyDescent="0.25">
      <c r="A33" s="168" t="s">
        <v>64</v>
      </c>
      <c r="B33" s="169" t="s">
        <v>28</v>
      </c>
      <c r="C33" s="168" t="s">
        <v>93</v>
      </c>
      <c r="D33" s="4">
        <v>0</v>
      </c>
      <c r="E33" s="4">
        <f>40-20</f>
        <v>20</v>
      </c>
      <c r="F33" s="54">
        <v>0</v>
      </c>
    </row>
    <row r="34" spans="1:6" ht="12.75" customHeight="1" x14ac:dyDescent="0.25">
      <c r="A34" s="168" t="s">
        <v>65</v>
      </c>
      <c r="B34" s="77" t="s">
        <v>30</v>
      </c>
      <c r="C34" s="168" t="s">
        <v>93</v>
      </c>
      <c r="D34" s="4">
        <v>8552</v>
      </c>
      <c r="E34" s="4">
        <f>19858-9934</f>
        <v>9924</v>
      </c>
      <c r="F34" s="54">
        <f t="shared" si="0"/>
        <v>0.16</v>
      </c>
    </row>
    <row r="35" spans="1:6" x14ac:dyDescent="0.25">
      <c r="A35" s="168" t="s">
        <v>66</v>
      </c>
      <c r="B35" s="77" t="s">
        <v>26</v>
      </c>
      <c r="C35" s="168" t="s">
        <v>93</v>
      </c>
      <c r="D35" s="4">
        <v>0</v>
      </c>
      <c r="E35" s="4">
        <f>36-13</f>
        <v>23</v>
      </c>
      <c r="F35" s="54">
        <v>0</v>
      </c>
    </row>
    <row r="36" spans="1:6" ht="30" x14ac:dyDescent="0.25">
      <c r="A36" s="168" t="s">
        <v>67</v>
      </c>
      <c r="B36" s="77" t="s">
        <v>83</v>
      </c>
      <c r="C36" s="168" t="s">
        <v>93</v>
      </c>
      <c r="D36" s="4">
        <v>7</v>
      </c>
      <c r="E36" s="4">
        <f>218-94</f>
        <v>124</v>
      </c>
      <c r="F36" s="54">
        <f t="shared" si="0"/>
        <v>16.71</v>
      </c>
    </row>
    <row r="37" spans="1:6" ht="15.75" customHeight="1" x14ac:dyDescent="0.25">
      <c r="A37" s="168" t="s">
        <v>142</v>
      </c>
      <c r="B37" s="77" t="s">
        <v>31</v>
      </c>
      <c r="C37" s="168" t="s">
        <v>93</v>
      </c>
      <c r="D37" s="4">
        <v>506</v>
      </c>
      <c r="E37" s="4">
        <f>1237-574</f>
        <v>663</v>
      </c>
      <c r="F37" s="54">
        <f t="shared" si="0"/>
        <v>0.31</v>
      </c>
    </row>
    <row r="38" spans="1:6" ht="32.25" customHeight="1" x14ac:dyDescent="0.25">
      <c r="A38" s="168" t="s">
        <v>143</v>
      </c>
      <c r="B38" s="77" t="s">
        <v>144</v>
      </c>
      <c r="C38" s="168" t="s">
        <v>93</v>
      </c>
      <c r="D38" s="4">
        <v>1636</v>
      </c>
      <c r="E38" s="4">
        <f>1720-1130</f>
        <v>590</v>
      </c>
      <c r="F38" s="54">
        <f t="shared" si="0"/>
        <v>-0.64</v>
      </c>
    </row>
    <row r="39" spans="1:6" x14ac:dyDescent="0.25">
      <c r="A39" s="168" t="s">
        <v>145</v>
      </c>
      <c r="B39" s="77" t="s">
        <v>146</v>
      </c>
      <c r="C39" s="168" t="s">
        <v>93</v>
      </c>
      <c r="D39" s="4">
        <v>275</v>
      </c>
      <c r="E39" s="4">
        <f>671-339</f>
        <v>332</v>
      </c>
      <c r="F39" s="54">
        <f t="shared" si="0"/>
        <v>0.21</v>
      </c>
    </row>
    <row r="40" spans="1:6" x14ac:dyDescent="0.25">
      <c r="A40" s="168" t="s">
        <v>147</v>
      </c>
      <c r="B40" s="77" t="s">
        <v>122</v>
      </c>
      <c r="C40" s="168" t="s">
        <v>93</v>
      </c>
      <c r="D40" s="4">
        <v>245</v>
      </c>
      <c r="E40" s="4">
        <f>3577-1083</f>
        <v>2494</v>
      </c>
      <c r="F40" s="54">
        <f t="shared" si="0"/>
        <v>9.18</v>
      </c>
    </row>
    <row r="41" spans="1:6" ht="30" x14ac:dyDescent="0.25">
      <c r="A41" s="168" t="s">
        <v>148</v>
      </c>
      <c r="B41" s="77" t="s">
        <v>257</v>
      </c>
      <c r="C41" s="168" t="s">
        <v>93</v>
      </c>
      <c r="D41" s="4">
        <v>12293</v>
      </c>
      <c r="E41" s="4">
        <f>7799-4061</f>
        <v>3738</v>
      </c>
      <c r="F41" s="54">
        <f t="shared" si="0"/>
        <v>-0.7</v>
      </c>
    </row>
    <row r="42" spans="1:6" s="177" customFormat="1" x14ac:dyDescent="0.25">
      <c r="A42" s="107" t="s">
        <v>23</v>
      </c>
      <c r="B42" s="95" t="s">
        <v>114</v>
      </c>
      <c r="C42" s="168" t="s">
        <v>93</v>
      </c>
      <c r="D42" s="32">
        <f>D43+D68+D77</f>
        <v>24777</v>
      </c>
      <c r="E42" s="32">
        <f>E43+E68</f>
        <v>13759</v>
      </c>
      <c r="F42" s="108">
        <f t="shared" si="0"/>
        <v>-0.44</v>
      </c>
    </row>
    <row r="43" spans="1:6" s="177" customFormat="1" ht="28.5" x14ac:dyDescent="0.25">
      <c r="A43" s="107">
        <v>6</v>
      </c>
      <c r="B43" s="95" t="s">
        <v>258</v>
      </c>
      <c r="C43" s="168" t="s">
        <v>93</v>
      </c>
      <c r="D43" s="32">
        <f>D44+D45+D49+D50</f>
        <v>19304</v>
      </c>
      <c r="E43" s="32">
        <f>E44+E45+E50+E49</f>
        <v>2162</v>
      </c>
      <c r="F43" s="108">
        <f t="shared" si="0"/>
        <v>-0.89</v>
      </c>
    </row>
    <row r="44" spans="1:6" ht="30" x14ac:dyDescent="0.25">
      <c r="A44" s="109" t="s">
        <v>69</v>
      </c>
      <c r="B44" s="77" t="s">
        <v>70</v>
      </c>
      <c r="C44" s="168" t="s">
        <v>93</v>
      </c>
      <c r="D44" s="4">
        <v>10800</v>
      </c>
      <c r="E44" s="4">
        <f>2577-1228</f>
        <v>1349</v>
      </c>
      <c r="F44" s="54">
        <f t="shared" si="0"/>
        <v>-0.88</v>
      </c>
    </row>
    <row r="45" spans="1:6" x14ac:dyDescent="0.25">
      <c r="A45" s="109" t="s">
        <v>71</v>
      </c>
      <c r="B45" s="77" t="s">
        <v>62</v>
      </c>
      <c r="C45" s="168" t="s">
        <v>93</v>
      </c>
      <c r="D45" s="4">
        <v>1188</v>
      </c>
      <c r="E45" s="4">
        <f>SUM(E46:E48)</f>
        <v>130</v>
      </c>
      <c r="F45" s="54">
        <f t="shared" si="0"/>
        <v>-0.89</v>
      </c>
    </row>
    <row r="46" spans="1:6" s="116" customFormat="1" x14ac:dyDescent="0.25">
      <c r="A46" s="111"/>
      <c r="B46" s="85" t="s">
        <v>216</v>
      </c>
      <c r="C46" s="113" t="s">
        <v>93</v>
      </c>
      <c r="D46" s="82">
        <v>826</v>
      </c>
      <c r="E46" s="114">
        <f>174-82</f>
        <v>92</v>
      </c>
      <c r="F46" s="115">
        <f t="shared" si="0"/>
        <v>-0.89</v>
      </c>
    </row>
    <row r="47" spans="1:6" s="116" customFormat="1" x14ac:dyDescent="0.25">
      <c r="A47" s="111"/>
      <c r="B47" s="28" t="s">
        <v>230</v>
      </c>
      <c r="C47" s="113" t="s">
        <v>93</v>
      </c>
      <c r="D47" s="82">
        <v>242</v>
      </c>
      <c r="E47" s="114">
        <f>49-24</f>
        <v>25</v>
      </c>
      <c r="F47" s="115">
        <f t="shared" si="0"/>
        <v>-0.9</v>
      </c>
    </row>
    <row r="48" spans="1:6" s="116" customFormat="1" x14ac:dyDescent="0.25">
      <c r="A48" s="111"/>
      <c r="B48" s="28" t="s">
        <v>231</v>
      </c>
      <c r="C48" s="113" t="s">
        <v>93</v>
      </c>
      <c r="D48" s="82">
        <v>120</v>
      </c>
      <c r="E48" s="114">
        <f>25-12</f>
        <v>13</v>
      </c>
      <c r="F48" s="115">
        <f t="shared" si="0"/>
        <v>-0.89</v>
      </c>
    </row>
    <row r="49" spans="1:6" x14ac:dyDescent="0.25">
      <c r="A49" s="109" t="s">
        <v>72</v>
      </c>
      <c r="B49" s="77" t="s">
        <v>22</v>
      </c>
      <c r="C49" s="168" t="s">
        <v>93</v>
      </c>
      <c r="D49" s="4">
        <v>1389</v>
      </c>
      <c r="E49" s="4">
        <f>433-233</f>
        <v>200</v>
      </c>
      <c r="F49" s="54">
        <f t="shared" si="0"/>
        <v>-0.86</v>
      </c>
    </row>
    <row r="50" spans="1:6" s="116" customFormat="1" x14ac:dyDescent="0.25">
      <c r="A50" s="111" t="s">
        <v>73</v>
      </c>
      <c r="B50" s="81" t="s">
        <v>259</v>
      </c>
      <c r="C50" s="168" t="s">
        <v>93</v>
      </c>
      <c r="D50" s="114">
        <f>SUM(D51:D67)</f>
        <v>5927</v>
      </c>
      <c r="E50" s="114">
        <f>SUM(E51:E67)</f>
        <v>483</v>
      </c>
      <c r="F50" s="54">
        <f t="shared" si="0"/>
        <v>-0.92</v>
      </c>
    </row>
    <row r="51" spans="1:6" ht="12.75" customHeight="1" x14ac:dyDescent="0.25">
      <c r="A51" s="109" t="s">
        <v>74</v>
      </c>
      <c r="B51" s="77" t="s">
        <v>25</v>
      </c>
      <c r="C51" s="168" t="s">
        <v>93</v>
      </c>
      <c r="D51" s="4">
        <v>1141</v>
      </c>
      <c r="E51" s="4">
        <f>43-21</f>
        <v>22</v>
      </c>
      <c r="F51" s="54">
        <f t="shared" si="0"/>
        <v>-0.98</v>
      </c>
    </row>
    <row r="52" spans="1:6" ht="12.75" customHeight="1" x14ac:dyDescent="0.25">
      <c r="A52" s="109" t="s">
        <v>75</v>
      </c>
      <c r="B52" s="77" t="s">
        <v>26</v>
      </c>
      <c r="C52" s="168" t="s">
        <v>93</v>
      </c>
      <c r="D52" s="4">
        <v>0</v>
      </c>
      <c r="E52" s="4">
        <f>35-20</f>
        <v>15</v>
      </c>
      <c r="F52" s="54">
        <v>0</v>
      </c>
    </row>
    <row r="53" spans="1:6" ht="12.75" customHeight="1" x14ac:dyDescent="0.25">
      <c r="A53" s="109" t="s">
        <v>76</v>
      </c>
      <c r="B53" s="77" t="s">
        <v>118</v>
      </c>
      <c r="C53" s="168" t="s">
        <v>93</v>
      </c>
      <c r="D53" s="4">
        <v>65</v>
      </c>
      <c r="E53" s="4">
        <f>29-14</f>
        <v>15</v>
      </c>
      <c r="F53" s="54">
        <f t="shared" si="0"/>
        <v>-0.77</v>
      </c>
    </row>
    <row r="54" spans="1:6" ht="12.75" customHeight="1" x14ac:dyDescent="0.25">
      <c r="A54" s="109" t="s">
        <v>77</v>
      </c>
      <c r="B54" s="77" t="s">
        <v>48</v>
      </c>
      <c r="C54" s="168" t="s">
        <v>93</v>
      </c>
      <c r="D54" s="4">
        <v>0</v>
      </c>
      <c r="E54" s="4">
        <f>3-3</f>
        <v>0</v>
      </c>
      <c r="F54" s="54">
        <v>0</v>
      </c>
    </row>
    <row r="55" spans="1:6" ht="12.75" customHeight="1" x14ac:dyDescent="0.25">
      <c r="A55" s="109" t="s">
        <v>78</v>
      </c>
      <c r="B55" s="77" t="s">
        <v>28</v>
      </c>
      <c r="C55" s="168" t="s">
        <v>93</v>
      </c>
      <c r="D55" s="4">
        <v>0</v>
      </c>
      <c r="E55" s="4">
        <f>34-15</f>
        <v>19</v>
      </c>
      <c r="F55" s="54">
        <v>0</v>
      </c>
    </row>
    <row r="56" spans="1:6" ht="27.75" customHeight="1" x14ac:dyDescent="0.25">
      <c r="A56" s="109" t="s">
        <v>79</v>
      </c>
      <c r="B56" s="77" t="s">
        <v>119</v>
      </c>
      <c r="C56" s="168" t="s">
        <v>93</v>
      </c>
      <c r="D56" s="4">
        <v>56</v>
      </c>
      <c r="E56" s="4">
        <f>20-6</f>
        <v>14</v>
      </c>
      <c r="F56" s="54">
        <f t="shared" si="0"/>
        <v>-0.75</v>
      </c>
    </row>
    <row r="57" spans="1:6" ht="12.75" customHeight="1" x14ac:dyDescent="0.25">
      <c r="A57" s="109" t="s">
        <v>80</v>
      </c>
      <c r="B57" s="77" t="s">
        <v>29</v>
      </c>
      <c r="C57" s="168" t="s">
        <v>93</v>
      </c>
      <c r="D57" s="4">
        <v>200</v>
      </c>
      <c r="E57" s="4">
        <f>3-1</f>
        <v>2</v>
      </c>
      <c r="F57" s="54">
        <f t="shared" si="0"/>
        <v>-0.99</v>
      </c>
    </row>
    <row r="58" spans="1:6" ht="12.75" customHeight="1" x14ac:dyDescent="0.25">
      <c r="A58" s="109" t="s">
        <v>81</v>
      </c>
      <c r="B58" s="77" t="s">
        <v>30</v>
      </c>
      <c r="C58" s="168" t="s">
        <v>93</v>
      </c>
      <c r="D58" s="4">
        <v>48</v>
      </c>
      <c r="E58" s="4">
        <v>0</v>
      </c>
      <c r="F58" s="54">
        <v>0</v>
      </c>
    </row>
    <row r="59" spans="1:6" ht="30" x14ac:dyDescent="0.25">
      <c r="A59" s="109" t="s">
        <v>82</v>
      </c>
      <c r="B59" s="77" t="s">
        <v>83</v>
      </c>
      <c r="C59" s="168" t="s">
        <v>93</v>
      </c>
      <c r="D59" s="4">
        <v>85</v>
      </c>
      <c r="E59" s="4">
        <f>46-23</f>
        <v>23</v>
      </c>
      <c r="F59" s="54">
        <f t="shared" si="0"/>
        <v>-0.73</v>
      </c>
    </row>
    <row r="60" spans="1:6" ht="12.75" customHeight="1" x14ac:dyDescent="0.25">
      <c r="A60" s="109" t="s">
        <v>84</v>
      </c>
      <c r="B60" s="77" t="s">
        <v>31</v>
      </c>
      <c r="C60" s="168" t="s">
        <v>93</v>
      </c>
      <c r="D60" s="4">
        <v>8</v>
      </c>
      <c r="E60" s="4">
        <f>3-2</f>
        <v>1</v>
      </c>
      <c r="F60" s="54">
        <f t="shared" si="0"/>
        <v>-0.88</v>
      </c>
    </row>
    <row r="61" spans="1:6" ht="14.25" customHeight="1" x14ac:dyDescent="0.25">
      <c r="A61" s="109" t="s">
        <v>85</v>
      </c>
      <c r="B61" s="77" t="s">
        <v>120</v>
      </c>
      <c r="C61" s="168" t="s">
        <v>93</v>
      </c>
      <c r="D61" s="4">
        <v>564</v>
      </c>
      <c r="E61" s="4">
        <f>237-108</f>
        <v>129</v>
      </c>
      <c r="F61" s="54">
        <f t="shared" si="0"/>
        <v>-0.77</v>
      </c>
    </row>
    <row r="62" spans="1:6" ht="12.75" customHeight="1" x14ac:dyDescent="0.25">
      <c r="A62" s="109" t="s">
        <v>86</v>
      </c>
      <c r="B62" s="77" t="s">
        <v>33</v>
      </c>
      <c r="C62" s="168" t="s">
        <v>93</v>
      </c>
      <c r="D62" s="4">
        <v>55</v>
      </c>
      <c r="E62" s="4">
        <f>16-8</f>
        <v>8</v>
      </c>
      <c r="F62" s="54">
        <f t="shared" si="0"/>
        <v>-0.85</v>
      </c>
    </row>
    <row r="63" spans="1:6" ht="12.75" customHeight="1" x14ac:dyDescent="0.25">
      <c r="A63" s="109" t="s">
        <v>87</v>
      </c>
      <c r="B63" s="77" t="s">
        <v>34</v>
      </c>
      <c r="C63" s="168" t="s">
        <v>93</v>
      </c>
      <c r="D63" s="4">
        <v>0</v>
      </c>
      <c r="E63" s="4">
        <v>0</v>
      </c>
      <c r="F63" s="54">
        <v>0</v>
      </c>
    </row>
    <row r="64" spans="1:6" ht="16.5" customHeight="1" x14ac:dyDescent="0.25">
      <c r="A64" s="109" t="s">
        <v>88</v>
      </c>
      <c r="B64" s="77" t="s">
        <v>121</v>
      </c>
      <c r="C64" s="168" t="s">
        <v>93</v>
      </c>
      <c r="D64" s="4">
        <v>752</v>
      </c>
      <c r="E64" s="4">
        <f>194-86</f>
        <v>108</v>
      </c>
      <c r="F64" s="54">
        <f t="shared" si="0"/>
        <v>-0.86</v>
      </c>
    </row>
    <row r="65" spans="1:11" ht="12.75" customHeight="1" x14ac:dyDescent="0.25">
      <c r="A65" s="109" t="s">
        <v>89</v>
      </c>
      <c r="B65" s="77" t="s">
        <v>122</v>
      </c>
      <c r="C65" s="168" t="s">
        <v>93</v>
      </c>
      <c r="D65" s="4">
        <v>642</v>
      </c>
      <c r="E65" s="4">
        <f>86-20</f>
        <v>66</v>
      </c>
      <c r="F65" s="54">
        <f t="shared" si="0"/>
        <v>-0.9</v>
      </c>
    </row>
    <row r="66" spans="1:11" ht="12.75" customHeight="1" x14ac:dyDescent="0.25">
      <c r="A66" s="109" t="s">
        <v>90</v>
      </c>
      <c r="B66" s="77" t="s">
        <v>36</v>
      </c>
      <c r="C66" s="168" t="s">
        <v>93</v>
      </c>
      <c r="D66" s="4">
        <v>118</v>
      </c>
      <c r="E66" s="4">
        <f>55-25</f>
        <v>30</v>
      </c>
      <c r="F66" s="54">
        <f>E66/D66-1</f>
        <v>-0.75</v>
      </c>
    </row>
    <row r="67" spans="1:11" ht="15.75" customHeight="1" x14ac:dyDescent="0.25">
      <c r="A67" s="109" t="s">
        <v>91</v>
      </c>
      <c r="B67" s="77" t="s">
        <v>123</v>
      </c>
      <c r="C67" s="168" t="s">
        <v>93</v>
      </c>
      <c r="D67" s="4">
        <v>2193</v>
      </c>
      <c r="E67" s="4">
        <f>52-21</f>
        <v>31</v>
      </c>
      <c r="F67" s="54">
        <f t="shared" si="0"/>
        <v>-0.99</v>
      </c>
    </row>
    <row r="68" spans="1:11" s="177" customFormat="1" ht="20.25" customHeight="1" x14ac:dyDescent="0.25">
      <c r="A68" s="107">
        <v>7</v>
      </c>
      <c r="B68" s="95" t="s">
        <v>260</v>
      </c>
      <c r="C68" s="168" t="s">
        <v>93</v>
      </c>
      <c r="D68" s="32">
        <f>SUM(D69:D76)-D71-D72-D73</f>
        <v>5473</v>
      </c>
      <c r="E68" s="32">
        <f>E69+E70+E74+E75+E76</f>
        <v>11597</v>
      </c>
      <c r="F68" s="108">
        <f t="shared" si="0"/>
        <v>1.1200000000000001</v>
      </c>
    </row>
    <row r="69" spans="1:11" ht="30" x14ac:dyDescent="0.25">
      <c r="A69" s="168" t="s">
        <v>152</v>
      </c>
      <c r="B69" s="77" t="s">
        <v>134</v>
      </c>
      <c r="C69" s="168" t="s">
        <v>93</v>
      </c>
      <c r="D69" s="4">
        <v>0</v>
      </c>
      <c r="E69" s="4">
        <f>5-5</f>
        <v>0</v>
      </c>
      <c r="F69" s="54">
        <v>0</v>
      </c>
    </row>
    <row r="70" spans="1:11" x14ac:dyDescent="0.25">
      <c r="A70" s="168" t="s">
        <v>153</v>
      </c>
      <c r="B70" s="77" t="s">
        <v>141</v>
      </c>
      <c r="C70" s="168" t="s">
        <v>93</v>
      </c>
      <c r="D70" s="4">
        <f>SUM(D71:D73)</f>
        <v>0</v>
      </c>
      <c r="E70" s="4">
        <f>0.4-0.4</f>
        <v>0</v>
      </c>
      <c r="F70" s="54">
        <v>0</v>
      </c>
      <c r="H70" s="178"/>
      <c r="I70" s="179"/>
      <c r="J70" s="179"/>
      <c r="K70" s="179"/>
    </row>
    <row r="71" spans="1:11" s="116" customFormat="1" x14ac:dyDescent="0.25">
      <c r="A71" s="113"/>
      <c r="B71" s="85" t="s">
        <v>216</v>
      </c>
      <c r="C71" s="113" t="s">
        <v>93</v>
      </c>
      <c r="D71" s="114">
        <v>0</v>
      </c>
      <c r="E71" s="114">
        <f>0.2-0.2</f>
        <v>0</v>
      </c>
      <c r="F71" s="115">
        <v>0</v>
      </c>
      <c r="H71" s="178"/>
      <c r="I71" s="178"/>
      <c r="J71" s="178"/>
      <c r="K71" s="178"/>
    </row>
    <row r="72" spans="1:11" s="116" customFormat="1" x14ac:dyDescent="0.25">
      <c r="A72" s="113"/>
      <c r="B72" s="28" t="s">
        <v>230</v>
      </c>
      <c r="C72" s="113" t="s">
        <v>93</v>
      </c>
      <c r="D72" s="114">
        <v>0</v>
      </c>
      <c r="E72" s="114">
        <f>0.1-0.1</f>
        <v>0</v>
      </c>
      <c r="F72" s="115">
        <v>0</v>
      </c>
    </row>
    <row r="73" spans="1:11" s="116" customFormat="1" x14ac:dyDescent="0.25">
      <c r="A73" s="113"/>
      <c r="B73" s="28" t="s">
        <v>231</v>
      </c>
      <c r="C73" s="113" t="s">
        <v>93</v>
      </c>
      <c r="D73" s="114">
        <v>0</v>
      </c>
      <c r="E73" s="114">
        <f>0.1-0.1</f>
        <v>0</v>
      </c>
      <c r="F73" s="115">
        <v>0</v>
      </c>
    </row>
    <row r="74" spans="1:11" ht="12.75" customHeight="1" x14ac:dyDescent="0.25">
      <c r="A74" s="168" t="s">
        <v>154</v>
      </c>
      <c r="B74" s="77" t="s">
        <v>155</v>
      </c>
      <c r="C74" s="168" t="s">
        <v>93</v>
      </c>
      <c r="D74" s="4">
        <v>1616</v>
      </c>
      <c r="E74" s="4">
        <v>0</v>
      </c>
      <c r="F74" s="54">
        <f t="shared" si="0"/>
        <v>-1</v>
      </c>
    </row>
    <row r="75" spans="1:11" ht="12.75" customHeight="1" x14ac:dyDescent="0.25">
      <c r="A75" s="168" t="s">
        <v>156</v>
      </c>
      <c r="B75" s="77" t="s">
        <v>25</v>
      </c>
      <c r="C75" s="168" t="s">
        <v>93</v>
      </c>
      <c r="D75" s="4">
        <v>3243</v>
      </c>
      <c r="E75" s="4">
        <v>0</v>
      </c>
      <c r="F75" s="54">
        <f t="shared" si="0"/>
        <v>-1</v>
      </c>
    </row>
    <row r="76" spans="1:11" x14ac:dyDescent="0.25">
      <c r="A76" s="168" t="s">
        <v>154</v>
      </c>
      <c r="B76" s="77" t="s">
        <v>158</v>
      </c>
      <c r="C76" s="168" t="s">
        <v>93</v>
      </c>
      <c r="D76" s="4">
        <v>614</v>
      </c>
      <c r="E76" s="4">
        <f>23646-12044-5</f>
        <v>11597</v>
      </c>
      <c r="F76" s="54">
        <f t="shared" si="0"/>
        <v>17.89</v>
      </c>
    </row>
    <row r="77" spans="1:11" s="177" customFormat="1" ht="19.5" customHeight="1" x14ac:dyDescent="0.25">
      <c r="A77" s="107">
        <v>8</v>
      </c>
      <c r="B77" s="95" t="s">
        <v>38</v>
      </c>
      <c r="C77" s="168" t="s">
        <v>93</v>
      </c>
      <c r="D77" s="32">
        <v>0</v>
      </c>
      <c r="E77" s="32">
        <v>0</v>
      </c>
      <c r="F77" s="108">
        <v>0</v>
      </c>
    </row>
    <row r="78" spans="1:11" s="177" customFormat="1" ht="19.5" customHeight="1" x14ac:dyDescent="0.25">
      <c r="A78" s="107" t="s">
        <v>39</v>
      </c>
      <c r="B78" s="95" t="s">
        <v>124</v>
      </c>
      <c r="C78" s="168" t="s">
        <v>93</v>
      </c>
      <c r="D78" s="32">
        <f>D13+D42</f>
        <v>260980</v>
      </c>
      <c r="E78" s="32">
        <f>E13+E42</f>
        <v>232481</v>
      </c>
      <c r="F78" s="108">
        <f t="shared" si="0"/>
        <v>-0.11</v>
      </c>
    </row>
    <row r="79" spans="1:11" s="177" customFormat="1" x14ac:dyDescent="0.25">
      <c r="A79" s="107" t="s">
        <v>41</v>
      </c>
      <c r="B79" s="95" t="s">
        <v>125</v>
      </c>
      <c r="C79" s="168" t="s">
        <v>93</v>
      </c>
      <c r="D79" s="32">
        <v>64353</v>
      </c>
      <c r="E79" s="32">
        <f>E81-E78</f>
        <v>-163649</v>
      </c>
      <c r="F79" s="108">
        <f t="shared" si="0"/>
        <v>-3.54</v>
      </c>
    </row>
    <row r="80" spans="1:11" ht="30" x14ac:dyDescent="0.25">
      <c r="A80" s="168" t="s">
        <v>41</v>
      </c>
      <c r="B80" s="77" t="s">
        <v>261</v>
      </c>
      <c r="C80" s="168" t="s">
        <v>93</v>
      </c>
      <c r="D80" s="4">
        <v>325333</v>
      </c>
      <c r="E80" s="4" t="s">
        <v>242</v>
      </c>
      <c r="F80" s="54">
        <v>0</v>
      </c>
    </row>
    <row r="81" spans="1:8" s="177" customFormat="1" ht="15" customHeight="1" x14ac:dyDescent="0.25">
      <c r="A81" s="107" t="s">
        <v>42</v>
      </c>
      <c r="B81" s="95" t="s">
        <v>43</v>
      </c>
      <c r="C81" s="107" t="s">
        <v>93</v>
      </c>
      <c r="D81" s="32">
        <f>D78+D79</f>
        <v>325333</v>
      </c>
      <c r="E81" s="32">
        <f>'доход 2019'!BG12/1000</f>
        <v>68832</v>
      </c>
      <c r="F81" s="108">
        <f t="shared" si="0"/>
        <v>-0.79</v>
      </c>
    </row>
    <row r="82" spans="1:8" s="180" customFormat="1" ht="28.5" x14ac:dyDescent="0.25">
      <c r="A82" s="107" t="s">
        <v>44</v>
      </c>
      <c r="B82" s="95" t="s">
        <v>241</v>
      </c>
      <c r="C82" s="107" t="s">
        <v>45</v>
      </c>
      <c r="D82" s="117">
        <v>5860.42</v>
      </c>
      <c r="E82" s="118">
        <f>'доход 2019'!BE12/1000</f>
        <v>1394.6479999999999</v>
      </c>
      <c r="F82" s="108">
        <f t="shared" si="0"/>
        <v>-0.76</v>
      </c>
    </row>
    <row r="83" spans="1:8" x14ac:dyDescent="0.25">
      <c r="A83" s="456" t="s">
        <v>50</v>
      </c>
      <c r="B83" s="457" t="s">
        <v>128</v>
      </c>
      <c r="C83" s="168" t="s">
        <v>51</v>
      </c>
      <c r="D83" s="119">
        <v>0</v>
      </c>
      <c r="E83" s="119">
        <v>0</v>
      </c>
      <c r="F83" s="54">
        <v>0</v>
      </c>
    </row>
    <row r="84" spans="1:8" ht="30.75" customHeight="1" x14ac:dyDescent="0.25">
      <c r="A84" s="456"/>
      <c r="B84" s="457"/>
      <c r="C84" s="168" t="s">
        <v>262</v>
      </c>
      <c r="D84" s="4">
        <v>0</v>
      </c>
      <c r="E84" s="4">
        <v>0</v>
      </c>
      <c r="F84" s="54">
        <v>0</v>
      </c>
      <c r="G84" s="179"/>
      <c r="H84" s="179"/>
    </row>
    <row r="85" spans="1:8" s="177" customFormat="1" ht="15" customHeight="1" x14ac:dyDescent="0.25">
      <c r="A85" s="107" t="s">
        <v>92</v>
      </c>
      <c r="B85" s="95" t="s">
        <v>243</v>
      </c>
      <c r="C85" s="107" t="s">
        <v>204</v>
      </c>
      <c r="D85" s="117">
        <f>D81/D82</f>
        <v>55.51</v>
      </c>
      <c r="E85" s="117">
        <f>E81/E82</f>
        <v>49.35</v>
      </c>
      <c r="F85" s="108">
        <f t="shared" si="0"/>
        <v>-0.11</v>
      </c>
      <c r="G85" s="181"/>
      <c r="H85" s="182"/>
    </row>
  </sheetData>
  <mergeCells count="9">
    <mergeCell ref="A8:F8"/>
    <mergeCell ref="A9:F9"/>
    <mergeCell ref="A83:A84"/>
    <mergeCell ref="B83:B84"/>
    <mergeCell ref="E2:F2"/>
    <mergeCell ref="E3:F3"/>
    <mergeCell ref="E4:F4"/>
    <mergeCell ref="E5:F5"/>
    <mergeCell ref="A7:F7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Normal="100" zoomScaleSheetLayoutView="100" workbookViewId="0">
      <selection activeCell="B15" sqref="B15"/>
    </sheetView>
  </sheetViews>
  <sheetFormatPr defaultRowHeight="15" x14ac:dyDescent="0.25"/>
  <cols>
    <col min="1" max="1" width="6.85546875" style="125" customWidth="1"/>
    <col min="2" max="2" width="44.85546875" style="125" customWidth="1"/>
    <col min="3" max="3" width="11.42578125" style="132" customWidth="1"/>
    <col min="4" max="4" width="15.7109375" style="125" customWidth="1"/>
    <col min="5" max="5" width="15.5703125" style="125" customWidth="1"/>
    <col min="6" max="6" width="11.7109375" style="31" customWidth="1"/>
    <col min="7" max="16384" width="9.140625" style="123"/>
  </cols>
  <sheetData>
    <row r="1" spans="1:6" ht="15" customHeight="1" x14ac:dyDescent="0.25">
      <c r="A1" s="120"/>
      <c r="B1" s="120"/>
      <c r="C1" s="121"/>
      <c r="D1" s="122"/>
      <c r="E1" s="450" t="s">
        <v>263</v>
      </c>
      <c r="F1" s="450"/>
    </row>
    <row r="2" spans="1:6" ht="84" customHeight="1" x14ac:dyDescent="0.25">
      <c r="A2" s="120"/>
      <c r="B2" s="124"/>
      <c r="C2" s="121"/>
      <c r="D2" s="122"/>
      <c r="E2" s="450" t="s">
        <v>315</v>
      </c>
      <c r="F2" s="450"/>
    </row>
    <row r="3" spans="1:6" ht="24.75" customHeight="1" x14ac:dyDescent="0.25">
      <c r="A3" s="120"/>
      <c r="B3" s="120"/>
      <c r="C3" s="121"/>
      <c r="D3" s="122"/>
      <c r="E3" s="450"/>
      <c r="F3" s="450"/>
    </row>
    <row r="4" spans="1:6" ht="38.25" customHeight="1" x14ac:dyDescent="0.25">
      <c r="A4" s="451" t="s">
        <v>944</v>
      </c>
      <c r="B4" s="451"/>
      <c r="C4" s="451"/>
      <c r="D4" s="451"/>
      <c r="E4" s="451"/>
      <c r="F4" s="451"/>
    </row>
    <row r="5" spans="1:6" ht="16.5" x14ac:dyDescent="0.25">
      <c r="A5" s="452" t="s">
        <v>939</v>
      </c>
      <c r="B5" s="452"/>
      <c r="C5" s="452"/>
      <c r="D5" s="452"/>
      <c r="E5" s="452"/>
      <c r="F5" s="452"/>
    </row>
    <row r="6" spans="1:6" ht="16.5" x14ac:dyDescent="0.25">
      <c r="A6" s="57"/>
      <c r="B6" s="57"/>
      <c r="C6" s="57"/>
      <c r="D6" s="57"/>
      <c r="E6" s="57"/>
      <c r="F6" s="57"/>
    </row>
    <row r="7" spans="1:6" ht="94.5" customHeight="1" x14ac:dyDescent="0.25">
      <c r="A7" s="24" t="s">
        <v>2</v>
      </c>
      <c r="B7" s="24" t="s">
        <v>133</v>
      </c>
      <c r="C7" s="24" t="s">
        <v>5</v>
      </c>
      <c r="D7" s="65" t="s">
        <v>317</v>
      </c>
      <c r="E7" s="165" t="s">
        <v>942</v>
      </c>
      <c r="F7" s="56" t="s">
        <v>226</v>
      </c>
    </row>
    <row r="8" spans="1:6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56" t="s">
        <v>247</v>
      </c>
    </row>
    <row r="9" spans="1:6" s="126" customFormat="1" ht="25.5" customHeight="1" x14ac:dyDescent="0.2">
      <c r="A9" s="107" t="s">
        <v>6</v>
      </c>
      <c r="B9" s="95" t="s">
        <v>248</v>
      </c>
      <c r="C9" s="107" t="s">
        <v>8</v>
      </c>
      <c r="D9" s="32">
        <f>D10+D18+D21+D22+D24</f>
        <v>289201</v>
      </c>
      <c r="E9" s="32">
        <f>E10+E18+E21+E22+E24</f>
        <v>256453</v>
      </c>
      <c r="F9" s="108">
        <f>E9/D9-1</f>
        <v>-0.11</v>
      </c>
    </row>
    <row r="10" spans="1:6" s="126" customFormat="1" x14ac:dyDescent="0.2">
      <c r="A10" s="107">
        <v>1</v>
      </c>
      <c r="B10" s="95" t="s">
        <v>264</v>
      </c>
      <c r="C10" s="67" t="s">
        <v>93</v>
      </c>
      <c r="D10" s="32">
        <f>SUM(D11:D15)</f>
        <v>286524</v>
      </c>
      <c r="E10" s="32">
        <f>SUM(E11:E15)</f>
        <v>250364</v>
      </c>
      <c r="F10" s="127">
        <f>E10/D10-1</f>
        <v>-0.13</v>
      </c>
    </row>
    <row r="11" spans="1:6" x14ac:dyDescent="0.25">
      <c r="A11" s="109" t="s">
        <v>46</v>
      </c>
      <c r="B11" s="77" t="s">
        <v>250</v>
      </c>
      <c r="C11" s="67" t="s">
        <v>93</v>
      </c>
      <c r="D11" s="4">
        <v>0</v>
      </c>
      <c r="E11" s="4">
        <v>0</v>
      </c>
      <c r="F11" s="54">
        <v>0</v>
      </c>
    </row>
    <row r="12" spans="1:6" x14ac:dyDescent="0.25">
      <c r="A12" s="109" t="s">
        <v>56</v>
      </c>
      <c r="B12" s="77" t="s">
        <v>57</v>
      </c>
      <c r="C12" s="67" t="s">
        <v>93</v>
      </c>
      <c r="D12" s="4">
        <v>0</v>
      </c>
      <c r="E12" s="4">
        <v>0</v>
      </c>
      <c r="F12" s="54">
        <v>0</v>
      </c>
    </row>
    <row r="13" spans="1:6" x14ac:dyDescent="0.25">
      <c r="A13" s="109" t="s">
        <v>98</v>
      </c>
      <c r="B13" s="77" t="s">
        <v>228</v>
      </c>
      <c r="C13" s="67" t="s">
        <v>93</v>
      </c>
      <c r="D13" s="4">
        <v>0</v>
      </c>
      <c r="E13" s="4">
        <v>0</v>
      </c>
      <c r="F13" s="54">
        <v>0</v>
      </c>
    </row>
    <row r="14" spans="1:6" x14ac:dyDescent="0.25">
      <c r="A14" s="109" t="s">
        <v>58</v>
      </c>
      <c r="B14" s="77" t="s">
        <v>251</v>
      </c>
      <c r="C14" s="67" t="s">
        <v>93</v>
      </c>
      <c r="D14" s="4">
        <v>0</v>
      </c>
      <c r="E14" s="4">
        <v>0</v>
      </c>
      <c r="F14" s="54">
        <v>0</v>
      </c>
    </row>
    <row r="15" spans="1:6" s="128" customFormat="1" ht="30" x14ac:dyDescent="0.25">
      <c r="A15" s="109" t="s">
        <v>59</v>
      </c>
      <c r="B15" s="77" t="s">
        <v>60</v>
      </c>
      <c r="C15" s="67" t="s">
        <v>93</v>
      </c>
      <c r="D15" s="4">
        <f>D16+D17</f>
        <v>286524</v>
      </c>
      <c r="E15" s="4">
        <f>E16+E17</f>
        <v>250364</v>
      </c>
      <c r="F15" s="54">
        <f t="shared" ref="F15" si="0">E15/D15-1</f>
        <v>-0.13</v>
      </c>
    </row>
    <row r="16" spans="1:6" s="445" customFormat="1" x14ac:dyDescent="0.25">
      <c r="A16" s="111" t="s">
        <v>205</v>
      </c>
      <c r="B16" s="81" t="s">
        <v>265</v>
      </c>
      <c r="C16" s="113" t="s">
        <v>93</v>
      </c>
      <c r="D16" s="114">
        <v>0</v>
      </c>
      <c r="E16" s="114">
        <f>2915-793</f>
        <v>2122</v>
      </c>
      <c r="F16" s="115">
        <v>0</v>
      </c>
    </row>
    <row r="17" spans="1:6" s="445" customFormat="1" x14ac:dyDescent="0.25">
      <c r="A17" s="111" t="s">
        <v>206</v>
      </c>
      <c r="B17" s="81" t="s">
        <v>266</v>
      </c>
      <c r="C17" s="113" t="s">
        <v>93</v>
      </c>
      <c r="D17" s="114">
        <v>286524</v>
      </c>
      <c r="E17" s="114">
        <f>470020-221778</f>
        <v>248242</v>
      </c>
      <c r="F17" s="115">
        <f>E17/D17-1</f>
        <v>-0.13</v>
      </c>
    </row>
    <row r="18" spans="1:6" s="126" customFormat="1" x14ac:dyDescent="0.2">
      <c r="A18" s="107">
        <v>2</v>
      </c>
      <c r="B18" s="95" t="s">
        <v>95</v>
      </c>
      <c r="C18" s="67" t="s">
        <v>93</v>
      </c>
      <c r="D18" s="32">
        <f>D19+D20</f>
        <v>0</v>
      </c>
      <c r="E18" s="32">
        <f>E19+E20</f>
        <v>0</v>
      </c>
      <c r="F18" s="108">
        <v>0</v>
      </c>
    </row>
    <row r="19" spans="1:6" ht="15.75" customHeight="1" x14ac:dyDescent="0.25">
      <c r="A19" s="109" t="s">
        <v>106</v>
      </c>
      <c r="B19" s="77" t="s">
        <v>61</v>
      </c>
      <c r="C19" s="67" t="s">
        <v>93</v>
      </c>
      <c r="D19" s="4">
        <v>0</v>
      </c>
      <c r="E19" s="4">
        <v>0</v>
      </c>
      <c r="F19" s="54">
        <v>0</v>
      </c>
    </row>
    <row r="20" spans="1:6" ht="15" customHeight="1" x14ac:dyDescent="0.25">
      <c r="A20" s="109" t="s">
        <v>47</v>
      </c>
      <c r="B20" s="77" t="s">
        <v>141</v>
      </c>
      <c r="C20" s="67" t="s">
        <v>93</v>
      </c>
      <c r="D20" s="4">
        <v>0</v>
      </c>
      <c r="E20" s="4">
        <v>0</v>
      </c>
      <c r="F20" s="54">
        <v>0</v>
      </c>
    </row>
    <row r="21" spans="1:6" s="126" customFormat="1" ht="14.25" customHeight="1" x14ac:dyDescent="0.2">
      <c r="A21" s="107">
        <v>3</v>
      </c>
      <c r="B21" s="95" t="s">
        <v>18</v>
      </c>
      <c r="C21" s="67" t="s">
        <v>93</v>
      </c>
      <c r="D21" s="32">
        <v>0</v>
      </c>
      <c r="E21" s="32">
        <v>0</v>
      </c>
      <c r="F21" s="108">
        <v>0</v>
      </c>
    </row>
    <row r="22" spans="1:6" s="126" customFormat="1" ht="14.25" customHeight="1" x14ac:dyDescent="0.2">
      <c r="A22" s="107">
        <v>4</v>
      </c>
      <c r="B22" s="95" t="s">
        <v>255</v>
      </c>
      <c r="C22" s="67" t="s">
        <v>93</v>
      </c>
      <c r="D22" s="32">
        <v>0</v>
      </c>
      <c r="E22" s="32">
        <v>0</v>
      </c>
      <c r="F22" s="108">
        <v>0</v>
      </c>
    </row>
    <row r="23" spans="1:6" ht="30" x14ac:dyDescent="0.25">
      <c r="A23" s="109" t="s">
        <v>109</v>
      </c>
      <c r="B23" s="77" t="s">
        <v>110</v>
      </c>
      <c r="C23" s="67" t="s">
        <v>93</v>
      </c>
      <c r="D23" s="4">
        <v>0</v>
      </c>
      <c r="E23" s="4">
        <v>0</v>
      </c>
      <c r="F23" s="129">
        <v>0</v>
      </c>
    </row>
    <row r="24" spans="1:6" s="126" customFormat="1" ht="14.25" customHeight="1" x14ac:dyDescent="0.2">
      <c r="A24" s="107">
        <v>5</v>
      </c>
      <c r="B24" s="95" t="s">
        <v>256</v>
      </c>
      <c r="C24" s="67" t="s">
        <v>93</v>
      </c>
      <c r="D24" s="32">
        <f>SUM(D25:D25)</f>
        <v>2677</v>
      </c>
      <c r="E24" s="32">
        <f>E25</f>
        <v>6089</v>
      </c>
      <c r="F24" s="108">
        <f t="shared" ref="F24:F60" si="1">E24/D24-1</f>
        <v>1.27</v>
      </c>
    </row>
    <row r="25" spans="1:6" ht="19.5" customHeight="1" x14ac:dyDescent="0.25">
      <c r="A25" s="67" t="s">
        <v>64</v>
      </c>
      <c r="B25" s="77" t="s">
        <v>257</v>
      </c>
      <c r="C25" s="67" t="s">
        <v>93</v>
      </c>
      <c r="D25" s="4">
        <v>2677</v>
      </c>
      <c r="E25" s="4">
        <f>14738-8649</f>
        <v>6089</v>
      </c>
      <c r="F25" s="54">
        <f t="shared" si="1"/>
        <v>1.27</v>
      </c>
    </row>
    <row r="26" spans="1:6" s="126" customFormat="1" ht="14.25" customHeight="1" x14ac:dyDescent="0.2">
      <c r="A26" s="107" t="s">
        <v>23</v>
      </c>
      <c r="B26" s="95" t="s">
        <v>114</v>
      </c>
      <c r="C26" s="107" t="s">
        <v>93</v>
      </c>
      <c r="D26" s="32">
        <f>D27+D52</f>
        <v>19221</v>
      </c>
      <c r="E26" s="32">
        <f>E27</f>
        <v>3537</v>
      </c>
      <c r="F26" s="108">
        <f t="shared" si="1"/>
        <v>-0.82</v>
      </c>
    </row>
    <row r="27" spans="1:6" s="126" customFormat="1" ht="28.5" x14ac:dyDescent="0.2">
      <c r="A27" s="107">
        <v>6</v>
      </c>
      <c r="B27" s="95" t="s">
        <v>258</v>
      </c>
      <c r="C27" s="107" t="s">
        <v>93</v>
      </c>
      <c r="D27" s="32">
        <f>D28+D29+D33+D34</f>
        <v>19221</v>
      </c>
      <c r="E27" s="32">
        <f>E28+E29+E33+E34</f>
        <v>3537</v>
      </c>
      <c r="F27" s="108">
        <f t="shared" si="1"/>
        <v>-0.82</v>
      </c>
    </row>
    <row r="28" spans="1:6" ht="18" customHeight="1" x14ac:dyDescent="0.25">
      <c r="A28" s="109" t="s">
        <v>69</v>
      </c>
      <c r="B28" s="77" t="s">
        <v>70</v>
      </c>
      <c r="C28" s="67" t="s">
        <v>93</v>
      </c>
      <c r="D28" s="4">
        <v>9422</v>
      </c>
      <c r="E28" s="4">
        <f>4784-2573</f>
        <v>2211</v>
      </c>
      <c r="F28" s="54">
        <f t="shared" si="1"/>
        <v>-0.77</v>
      </c>
    </row>
    <row r="29" spans="1:6" x14ac:dyDescent="0.25">
      <c r="A29" s="109" t="s">
        <v>71</v>
      </c>
      <c r="B29" s="77" t="s">
        <v>62</v>
      </c>
      <c r="C29" s="67" t="s">
        <v>93</v>
      </c>
      <c r="D29" s="4">
        <v>1036</v>
      </c>
      <c r="E29" s="4">
        <f>E30+E31+E32</f>
        <v>212</v>
      </c>
      <c r="F29" s="54">
        <f t="shared" si="1"/>
        <v>-0.8</v>
      </c>
    </row>
    <row r="30" spans="1:6" s="130" customFormat="1" x14ac:dyDescent="0.25">
      <c r="A30" s="111"/>
      <c r="B30" s="85" t="s">
        <v>216</v>
      </c>
      <c r="C30" s="113"/>
      <c r="D30" s="82">
        <v>719</v>
      </c>
      <c r="E30" s="114">
        <f>323-172</f>
        <v>151</v>
      </c>
      <c r="F30" s="54">
        <f t="shared" si="1"/>
        <v>-0.79</v>
      </c>
    </row>
    <row r="31" spans="1:6" s="130" customFormat="1" x14ac:dyDescent="0.25">
      <c r="A31" s="111"/>
      <c r="B31" s="28" t="s">
        <v>230</v>
      </c>
      <c r="C31" s="113"/>
      <c r="D31" s="82">
        <v>209</v>
      </c>
      <c r="E31" s="114">
        <f>90-50</f>
        <v>40</v>
      </c>
      <c r="F31" s="115">
        <f t="shared" si="1"/>
        <v>-0.81</v>
      </c>
    </row>
    <row r="32" spans="1:6" s="130" customFormat="1" x14ac:dyDescent="0.25">
      <c r="A32" s="111"/>
      <c r="B32" s="28" t="s">
        <v>231</v>
      </c>
      <c r="C32" s="113"/>
      <c r="D32" s="82">
        <v>108</v>
      </c>
      <c r="E32" s="114">
        <f>47-26</f>
        <v>21</v>
      </c>
      <c r="F32" s="115">
        <f t="shared" si="1"/>
        <v>-0.81</v>
      </c>
    </row>
    <row r="33" spans="1:6" x14ac:dyDescent="0.25">
      <c r="A33" s="109" t="s">
        <v>72</v>
      </c>
      <c r="B33" s="77" t="s">
        <v>22</v>
      </c>
      <c r="C33" s="67" t="s">
        <v>93</v>
      </c>
      <c r="D33" s="4">
        <v>2137</v>
      </c>
      <c r="E33" s="4">
        <f>805-468</f>
        <v>337</v>
      </c>
      <c r="F33" s="54">
        <f t="shared" si="1"/>
        <v>-0.84</v>
      </c>
    </row>
    <row r="34" spans="1:6" s="130" customFormat="1" x14ac:dyDescent="0.25">
      <c r="A34" s="111" t="s">
        <v>73</v>
      </c>
      <c r="B34" s="81" t="s">
        <v>259</v>
      </c>
      <c r="C34" s="113" t="s">
        <v>93</v>
      </c>
      <c r="D34" s="114">
        <f>SUM(D35:D51)</f>
        <v>6626</v>
      </c>
      <c r="E34" s="114">
        <f>SUM(E35:E51)</f>
        <v>777</v>
      </c>
      <c r="F34" s="115">
        <f t="shared" si="1"/>
        <v>-0.88</v>
      </c>
    </row>
    <row r="35" spans="1:6" x14ac:dyDescent="0.25">
      <c r="A35" s="109" t="s">
        <v>74</v>
      </c>
      <c r="B35" s="77" t="s">
        <v>25</v>
      </c>
      <c r="C35" s="67" t="s">
        <v>93</v>
      </c>
      <c r="D35" s="4">
        <v>1022</v>
      </c>
      <c r="E35" s="4">
        <f>80-45</f>
        <v>35</v>
      </c>
      <c r="F35" s="54">
        <f t="shared" si="1"/>
        <v>-0.97</v>
      </c>
    </row>
    <row r="36" spans="1:6" x14ac:dyDescent="0.25">
      <c r="A36" s="109" t="s">
        <v>75</v>
      </c>
      <c r="B36" s="77" t="s">
        <v>26</v>
      </c>
      <c r="C36" s="67" t="s">
        <v>93</v>
      </c>
      <c r="D36" s="4">
        <v>0</v>
      </c>
      <c r="E36" s="4">
        <f>63-41</f>
        <v>22</v>
      </c>
      <c r="F36" s="54">
        <v>0</v>
      </c>
    </row>
    <row r="37" spans="1:6" x14ac:dyDescent="0.25">
      <c r="A37" s="109" t="s">
        <v>76</v>
      </c>
      <c r="B37" s="77" t="s">
        <v>118</v>
      </c>
      <c r="C37" s="67" t="s">
        <v>93</v>
      </c>
      <c r="D37" s="4">
        <v>87</v>
      </c>
      <c r="E37" s="4">
        <f>53-30</f>
        <v>23</v>
      </c>
      <c r="F37" s="54">
        <f t="shared" si="1"/>
        <v>-0.74</v>
      </c>
    </row>
    <row r="38" spans="1:6" ht="15" customHeight="1" x14ac:dyDescent="0.25">
      <c r="A38" s="109" t="s">
        <v>77</v>
      </c>
      <c r="B38" s="77" t="s">
        <v>48</v>
      </c>
      <c r="C38" s="67" t="s">
        <v>93</v>
      </c>
      <c r="D38" s="4">
        <v>0</v>
      </c>
      <c r="E38" s="4">
        <v>7</v>
      </c>
      <c r="F38" s="54">
        <v>0</v>
      </c>
    </row>
    <row r="39" spans="1:6" ht="15" customHeight="1" x14ac:dyDescent="0.25">
      <c r="A39" s="109" t="s">
        <v>78</v>
      </c>
      <c r="B39" s="77" t="s">
        <v>28</v>
      </c>
      <c r="C39" s="67" t="s">
        <v>93</v>
      </c>
      <c r="D39" s="4">
        <v>0</v>
      </c>
      <c r="E39" s="4">
        <f>63-0</f>
        <v>63</v>
      </c>
      <c r="F39" s="54">
        <v>0</v>
      </c>
    </row>
    <row r="40" spans="1:6" ht="30" x14ac:dyDescent="0.25">
      <c r="A40" s="109" t="s">
        <v>79</v>
      </c>
      <c r="B40" s="77" t="s">
        <v>119</v>
      </c>
      <c r="C40" s="67" t="s">
        <v>93</v>
      </c>
      <c r="D40" s="4">
        <v>95</v>
      </c>
      <c r="E40" s="4">
        <f>42-13</f>
        <v>29</v>
      </c>
      <c r="F40" s="54">
        <f t="shared" si="1"/>
        <v>-0.69</v>
      </c>
    </row>
    <row r="41" spans="1:6" x14ac:dyDescent="0.25">
      <c r="A41" s="109" t="s">
        <v>80</v>
      </c>
      <c r="B41" s="77" t="s">
        <v>29</v>
      </c>
      <c r="C41" s="67" t="s">
        <v>93</v>
      </c>
      <c r="D41" s="4">
        <v>193</v>
      </c>
      <c r="E41" s="4">
        <f>6-4</f>
        <v>2</v>
      </c>
      <c r="F41" s="54">
        <f t="shared" si="1"/>
        <v>-0.99</v>
      </c>
    </row>
    <row r="42" spans="1:6" x14ac:dyDescent="0.25">
      <c r="A42" s="109" t="s">
        <v>81</v>
      </c>
      <c r="B42" s="77" t="s">
        <v>30</v>
      </c>
      <c r="C42" s="67" t="s">
        <v>93</v>
      </c>
      <c r="D42" s="4">
        <v>73</v>
      </c>
      <c r="E42" s="4">
        <v>0</v>
      </c>
      <c r="F42" s="54">
        <v>0</v>
      </c>
    </row>
    <row r="43" spans="1:6" ht="17.25" customHeight="1" x14ac:dyDescent="0.25">
      <c r="A43" s="109" t="s">
        <v>82</v>
      </c>
      <c r="B43" s="77" t="s">
        <v>83</v>
      </c>
      <c r="C43" s="67" t="s">
        <v>93</v>
      </c>
      <c r="D43" s="4">
        <v>131</v>
      </c>
      <c r="E43" s="4">
        <f>87-48</f>
        <v>39</v>
      </c>
      <c r="F43" s="54">
        <f t="shared" si="1"/>
        <v>-0.7</v>
      </c>
    </row>
    <row r="44" spans="1:6" x14ac:dyDescent="0.25">
      <c r="A44" s="109" t="s">
        <v>84</v>
      </c>
      <c r="B44" s="77" t="s">
        <v>31</v>
      </c>
      <c r="C44" s="67" t="s">
        <v>93</v>
      </c>
      <c r="D44" s="4">
        <v>8</v>
      </c>
      <c r="E44" s="4">
        <f>6-5</f>
        <v>1</v>
      </c>
      <c r="F44" s="54">
        <f t="shared" si="1"/>
        <v>-0.88</v>
      </c>
    </row>
    <row r="45" spans="1:6" ht="18" customHeight="1" x14ac:dyDescent="0.25">
      <c r="A45" s="109" t="s">
        <v>85</v>
      </c>
      <c r="B45" s="77" t="s">
        <v>120</v>
      </c>
      <c r="C45" s="67" t="s">
        <v>93</v>
      </c>
      <c r="D45" s="4">
        <v>709</v>
      </c>
      <c r="E45" s="4">
        <f>430-225</f>
        <v>205</v>
      </c>
      <c r="F45" s="54">
        <f t="shared" si="1"/>
        <v>-0.71</v>
      </c>
    </row>
    <row r="46" spans="1:6" x14ac:dyDescent="0.25">
      <c r="A46" s="109" t="s">
        <v>86</v>
      </c>
      <c r="B46" s="77" t="s">
        <v>33</v>
      </c>
      <c r="C46" s="67" t="s">
        <v>93</v>
      </c>
      <c r="D46" s="4">
        <v>67</v>
      </c>
      <c r="E46" s="4">
        <f>29-16</f>
        <v>13</v>
      </c>
      <c r="F46" s="54">
        <f t="shared" si="1"/>
        <v>-0.81</v>
      </c>
    </row>
    <row r="47" spans="1:6" x14ac:dyDescent="0.25">
      <c r="A47" s="109" t="s">
        <v>87</v>
      </c>
      <c r="B47" s="77" t="s">
        <v>34</v>
      </c>
      <c r="C47" s="67" t="s">
        <v>93</v>
      </c>
      <c r="D47" s="4">
        <v>0</v>
      </c>
      <c r="E47" s="4">
        <v>0</v>
      </c>
      <c r="F47" s="54">
        <v>0</v>
      </c>
    </row>
    <row r="48" spans="1:6" x14ac:dyDescent="0.25">
      <c r="A48" s="109" t="s">
        <v>88</v>
      </c>
      <c r="B48" s="77" t="s">
        <v>121</v>
      </c>
      <c r="C48" s="67" t="s">
        <v>93</v>
      </c>
      <c r="D48" s="4">
        <v>675</v>
      </c>
      <c r="E48" s="4">
        <f>352-177</f>
        <v>175</v>
      </c>
      <c r="F48" s="54">
        <f t="shared" si="1"/>
        <v>-0.74</v>
      </c>
    </row>
    <row r="49" spans="1:6" x14ac:dyDescent="0.25">
      <c r="A49" s="109" t="s">
        <v>89</v>
      </c>
      <c r="B49" s="77" t="s">
        <v>122</v>
      </c>
      <c r="C49" s="67" t="s">
        <v>93</v>
      </c>
      <c r="D49" s="4">
        <v>661</v>
      </c>
      <c r="E49" s="4">
        <f>147-72</f>
        <v>75</v>
      </c>
      <c r="F49" s="54">
        <f t="shared" si="1"/>
        <v>-0.89</v>
      </c>
    </row>
    <row r="50" spans="1:6" x14ac:dyDescent="0.25">
      <c r="A50" s="109" t="s">
        <v>90</v>
      </c>
      <c r="B50" s="77" t="s">
        <v>36</v>
      </c>
      <c r="C50" s="67" t="s">
        <v>93</v>
      </c>
      <c r="D50" s="4">
        <v>115</v>
      </c>
      <c r="E50" s="4">
        <f>103-53</f>
        <v>50</v>
      </c>
      <c r="F50" s="54">
        <f t="shared" si="1"/>
        <v>-0.56999999999999995</v>
      </c>
    </row>
    <row r="51" spans="1:6" x14ac:dyDescent="0.25">
      <c r="A51" s="109" t="s">
        <v>91</v>
      </c>
      <c r="B51" s="77" t="s">
        <v>123</v>
      </c>
      <c r="C51" s="67" t="s">
        <v>93</v>
      </c>
      <c r="D51" s="4">
        <v>2790</v>
      </c>
      <c r="E51" s="4">
        <f>87-49</f>
        <v>38</v>
      </c>
      <c r="F51" s="54">
        <f t="shared" si="1"/>
        <v>-0.99</v>
      </c>
    </row>
    <row r="52" spans="1:6" s="126" customFormat="1" x14ac:dyDescent="0.2">
      <c r="A52" s="107">
        <v>7</v>
      </c>
      <c r="B52" s="95" t="s">
        <v>38</v>
      </c>
      <c r="C52" s="107" t="s">
        <v>93</v>
      </c>
      <c r="D52" s="32">
        <v>0</v>
      </c>
      <c r="E52" s="32">
        <v>0</v>
      </c>
      <c r="F52" s="54">
        <v>0</v>
      </c>
    </row>
    <row r="53" spans="1:6" s="126" customFormat="1" ht="14.25" x14ac:dyDescent="0.2">
      <c r="A53" s="107" t="s">
        <v>39</v>
      </c>
      <c r="B53" s="95" t="s">
        <v>124</v>
      </c>
      <c r="C53" s="107" t="s">
        <v>93</v>
      </c>
      <c r="D53" s="32">
        <f>D9+D26</f>
        <v>308422</v>
      </c>
      <c r="E53" s="32">
        <f>E9+E26</f>
        <v>259990</v>
      </c>
      <c r="F53" s="108">
        <f t="shared" si="1"/>
        <v>-0.16</v>
      </c>
    </row>
    <row r="54" spans="1:6" s="126" customFormat="1" ht="14.25" x14ac:dyDescent="0.2">
      <c r="A54" s="107" t="s">
        <v>41</v>
      </c>
      <c r="B54" s="95" t="s">
        <v>125</v>
      </c>
      <c r="C54" s="107" t="s">
        <v>93</v>
      </c>
      <c r="D54" s="32">
        <v>0</v>
      </c>
      <c r="E54" s="32">
        <f>E56-E53</f>
        <v>-102866</v>
      </c>
      <c r="F54" s="108">
        <v>0</v>
      </c>
    </row>
    <row r="55" spans="1:6" s="130" customFormat="1" ht="29.25" customHeight="1" x14ac:dyDescent="0.25">
      <c r="A55" s="113" t="s">
        <v>42</v>
      </c>
      <c r="B55" s="81" t="s">
        <v>261</v>
      </c>
      <c r="C55" s="113" t="s">
        <v>93</v>
      </c>
      <c r="D55" s="114">
        <v>0</v>
      </c>
      <c r="E55" s="114">
        <v>0</v>
      </c>
      <c r="F55" s="115">
        <v>0</v>
      </c>
    </row>
    <row r="56" spans="1:6" s="126" customFormat="1" ht="14.25" x14ac:dyDescent="0.2">
      <c r="A56" s="107" t="s">
        <v>44</v>
      </c>
      <c r="B56" s="95" t="s">
        <v>43</v>
      </c>
      <c r="C56" s="107" t="s">
        <v>93</v>
      </c>
      <c r="D56" s="32">
        <f>D53+D54</f>
        <v>308422</v>
      </c>
      <c r="E56" s="32">
        <f>'доход 2019'!BG17/1000</f>
        <v>157124</v>
      </c>
      <c r="F56" s="108">
        <f t="shared" si="1"/>
        <v>-0.49</v>
      </c>
    </row>
    <row r="57" spans="1:6" s="126" customFormat="1" ht="28.5" x14ac:dyDescent="0.2">
      <c r="A57" s="107" t="s">
        <v>50</v>
      </c>
      <c r="B57" s="95" t="s">
        <v>241</v>
      </c>
      <c r="C57" s="107" t="s">
        <v>45</v>
      </c>
      <c r="D57" s="117">
        <v>3268.05</v>
      </c>
      <c r="E57" s="118">
        <f>'доход 2019'!BE17/1000</f>
        <v>1706.7360000000001</v>
      </c>
      <c r="F57" s="108">
        <f t="shared" si="1"/>
        <v>-0.48</v>
      </c>
    </row>
    <row r="58" spans="1:6" x14ac:dyDescent="0.25">
      <c r="A58" s="460" t="s">
        <v>92</v>
      </c>
      <c r="B58" s="462" t="s">
        <v>128</v>
      </c>
      <c r="C58" s="67" t="s">
        <v>51</v>
      </c>
      <c r="D58" s="119">
        <v>0</v>
      </c>
      <c r="E58" s="119">
        <v>0</v>
      </c>
      <c r="F58" s="54">
        <v>0</v>
      </c>
    </row>
    <row r="59" spans="1:6" ht="39" customHeight="1" x14ac:dyDescent="0.25">
      <c r="A59" s="461"/>
      <c r="B59" s="463"/>
      <c r="C59" s="131" t="s">
        <v>267</v>
      </c>
      <c r="D59" s="4">
        <v>0</v>
      </c>
      <c r="E59" s="4">
        <v>0</v>
      </c>
      <c r="F59" s="54">
        <v>0</v>
      </c>
    </row>
    <row r="60" spans="1:6" s="126" customFormat="1" ht="18" customHeight="1" x14ac:dyDescent="0.2">
      <c r="A60" s="107" t="s">
        <v>210</v>
      </c>
      <c r="B60" s="95" t="s">
        <v>243</v>
      </c>
      <c r="C60" s="107" t="s">
        <v>268</v>
      </c>
      <c r="D60" s="117">
        <f>D56/D57</f>
        <v>94.37</v>
      </c>
      <c r="E60" s="117">
        <f>E56/E57</f>
        <v>92.06</v>
      </c>
      <c r="F60" s="155">
        <f t="shared" si="1"/>
        <v>-2.4500000000000001E-2</v>
      </c>
    </row>
  </sheetData>
  <mergeCells count="7">
    <mergeCell ref="A4:F4"/>
    <mergeCell ref="A5:F5"/>
    <mergeCell ref="A58:A59"/>
    <mergeCell ref="B58:B59"/>
    <mergeCell ref="E1:F1"/>
    <mergeCell ref="E2:F2"/>
    <mergeCell ref="E3:F3"/>
  </mergeCells>
  <pageMargins left="0.43" right="0.15748031496062992" top="0.47244094488188981" bottom="0.43307086614173229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abSelected="1" topLeftCell="A10" workbookViewId="0">
      <selection activeCell="F33" sqref="F33"/>
    </sheetView>
  </sheetViews>
  <sheetFormatPr defaultColWidth="9.140625" defaultRowHeight="15" x14ac:dyDescent="0.25"/>
  <cols>
    <col min="1" max="1" width="6.5703125" style="133" customWidth="1"/>
    <col min="2" max="2" width="40.85546875" style="134" customWidth="1"/>
    <col min="3" max="3" width="11.28515625" style="134" customWidth="1"/>
    <col min="4" max="4" width="14.5703125" style="135" customWidth="1"/>
    <col min="5" max="5" width="13.5703125" style="136" customWidth="1"/>
    <col min="6" max="6" width="12" style="136" customWidth="1"/>
    <col min="7" max="10" width="9.140625" style="135" customWidth="1"/>
    <col min="11" max="246" width="9.140625" style="135"/>
    <col min="247" max="247" width="6.28515625" style="135" customWidth="1"/>
    <col min="248" max="248" width="43.42578125" style="135" customWidth="1"/>
    <col min="249" max="249" width="17.85546875" style="135" customWidth="1"/>
    <col min="250" max="250" width="14.42578125" style="135" customWidth="1"/>
    <col min="251" max="253" width="0" style="135" hidden="1" customWidth="1"/>
    <col min="254" max="254" width="15.5703125" style="135" customWidth="1"/>
    <col min="255" max="257" width="0" style="135" hidden="1" customWidth="1"/>
    <col min="258" max="258" width="9.140625" style="135" customWidth="1"/>
    <col min="259" max="266" width="0" style="135" hidden="1" customWidth="1"/>
    <col min="267" max="502" width="9.140625" style="135"/>
    <col min="503" max="503" width="6.28515625" style="135" customWidth="1"/>
    <col min="504" max="504" width="43.42578125" style="135" customWidth="1"/>
    <col min="505" max="505" width="17.85546875" style="135" customWidth="1"/>
    <col min="506" max="506" width="14.42578125" style="135" customWidth="1"/>
    <col min="507" max="509" width="0" style="135" hidden="1" customWidth="1"/>
    <col min="510" max="510" width="15.5703125" style="135" customWidth="1"/>
    <col min="511" max="513" width="0" style="135" hidden="1" customWidth="1"/>
    <col min="514" max="514" width="9.140625" style="135" customWidth="1"/>
    <col min="515" max="522" width="0" style="135" hidden="1" customWidth="1"/>
    <col min="523" max="758" width="9.140625" style="135"/>
    <col min="759" max="759" width="6.28515625" style="135" customWidth="1"/>
    <col min="760" max="760" width="43.42578125" style="135" customWidth="1"/>
    <col min="761" max="761" width="17.85546875" style="135" customWidth="1"/>
    <col min="762" max="762" width="14.42578125" style="135" customWidth="1"/>
    <col min="763" max="765" width="0" style="135" hidden="1" customWidth="1"/>
    <col min="766" max="766" width="15.5703125" style="135" customWidth="1"/>
    <col min="767" max="769" width="0" style="135" hidden="1" customWidth="1"/>
    <col min="770" max="770" width="9.140625" style="135" customWidth="1"/>
    <col min="771" max="778" width="0" style="135" hidden="1" customWidth="1"/>
    <col min="779" max="1014" width="9.140625" style="135"/>
    <col min="1015" max="1015" width="6.28515625" style="135" customWidth="1"/>
    <col min="1016" max="1016" width="43.42578125" style="135" customWidth="1"/>
    <col min="1017" max="1017" width="17.85546875" style="135" customWidth="1"/>
    <col min="1018" max="1018" width="14.42578125" style="135" customWidth="1"/>
    <col min="1019" max="1021" width="0" style="135" hidden="1" customWidth="1"/>
    <col min="1022" max="1022" width="15.5703125" style="135" customWidth="1"/>
    <col min="1023" max="1025" width="0" style="135" hidden="1" customWidth="1"/>
    <col min="1026" max="1026" width="9.140625" style="135" customWidth="1"/>
    <col min="1027" max="1034" width="0" style="135" hidden="1" customWidth="1"/>
    <col min="1035" max="1270" width="9.140625" style="135"/>
    <col min="1271" max="1271" width="6.28515625" style="135" customWidth="1"/>
    <col min="1272" max="1272" width="43.42578125" style="135" customWidth="1"/>
    <col min="1273" max="1273" width="17.85546875" style="135" customWidth="1"/>
    <col min="1274" max="1274" width="14.42578125" style="135" customWidth="1"/>
    <col min="1275" max="1277" width="0" style="135" hidden="1" customWidth="1"/>
    <col min="1278" max="1278" width="15.5703125" style="135" customWidth="1"/>
    <col min="1279" max="1281" width="0" style="135" hidden="1" customWidth="1"/>
    <col min="1282" max="1282" width="9.140625" style="135" customWidth="1"/>
    <col min="1283" max="1290" width="0" style="135" hidden="1" customWidth="1"/>
    <col min="1291" max="1526" width="9.140625" style="135"/>
    <col min="1527" max="1527" width="6.28515625" style="135" customWidth="1"/>
    <col min="1528" max="1528" width="43.42578125" style="135" customWidth="1"/>
    <col min="1529" max="1529" width="17.85546875" style="135" customWidth="1"/>
    <col min="1530" max="1530" width="14.42578125" style="135" customWidth="1"/>
    <col min="1531" max="1533" width="0" style="135" hidden="1" customWidth="1"/>
    <col min="1534" max="1534" width="15.5703125" style="135" customWidth="1"/>
    <col min="1535" max="1537" width="0" style="135" hidden="1" customWidth="1"/>
    <col min="1538" max="1538" width="9.140625" style="135" customWidth="1"/>
    <col min="1539" max="1546" width="0" style="135" hidden="1" customWidth="1"/>
    <col min="1547" max="1782" width="9.140625" style="135"/>
    <col min="1783" max="1783" width="6.28515625" style="135" customWidth="1"/>
    <col min="1784" max="1784" width="43.42578125" style="135" customWidth="1"/>
    <col min="1785" max="1785" width="17.85546875" style="135" customWidth="1"/>
    <col min="1786" max="1786" width="14.42578125" style="135" customWidth="1"/>
    <col min="1787" max="1789" width="0" style="135" hidden="1" customWidth="1"/>
    <col min="1790" max="1790" width="15.5703125" style="135" customWidth="1"/>
    <col min="1791" max="1793" width="0" style="135" hidden="1" customWidth="1"/>
    <col min="1794" max="1794" width="9.140625" style="135" customWidth="1"/>
    <col min="1795" max="1802" width="0" style="135" hidden="1" customWidth="1"/>
    <col min="1803" max="2038" width="9.140625" style="135"/>
    <col min="2039" max="2039" width="6.28515625" style="135" customWidth="1"/>
    <col min="2040" max="2040" width="43.42578125" style="135" customWidth="1"/>
    <col min="2041" max="2041" width="17.85546875" style="135" customWidth="1"/>
    <col min="2042" max="2042" width="14.42578125" style="135" customWidth="1"/>
    <col min="2043" max="2045" width="0" style="135" hidden="1" customWidth="1"/>
    <col min="2046" max="2046" width="15.5703125" style="135" customWidth="1"/>
    <col min="2047" max="2049" width="0" style="135" hidden="1" customWidth="1"/>
    <col min="2050" max="2050" width="9.140625" style="135" customWidth="1"/>
    <col min="2051" max="2058" width="0" style="135" hidden="1" customWidth="1"/>
    <col min="2059" max="2294" width="9.140625" style="135"/>
    <col min="2295" max="2295" width="6.28515625" style="135" customWidth="1"/>
    <col min="2296" max="2296" width="43.42578125" style="135" customWidth="1"/>
    <col min="2297" max="2297" width="17.85546875" style="135" customWidth="1"/>
    <col min="2298" max="2298" width="14.42578125" style="135" customWidth="1"/>
    <col min="2299" max="2301" width="0" style="135" hidden="1" customWidth="1"/>
    <col min="2302" max="2302" width="15.5703125" style="135" customWidth="1"/>
    <col min="2303" max="2305" width="0" style="135" hidden="1" customWidth="1"/>
    <col min="2306" max="2306" width="9.140625" style="135" customWidth="1"/>
    <col min="2307" max="2314" width="0" style="135" hidden="1" customWidth="1"/>
    <col min="2315" max="2550" width="9.140625" style="135"/>
    <col min="2551" max="2551" width="6.28515625" style="135" customWidth="1"/>
    <col min="2552" max="2552" width="43.42578125" style="135" customWidth="1"/>
    <col min="2553" max="2553" width="17.85546875" style="135" customWidth="1"/>
    <col min="2554" max="2554" width="14.42578125" style="135" customWidth="1"/>
    <col min="2555" max="2557" width="0" style="135" hidden="1" customWidth="1"/>
    <col min="2558" max="2558" width="15.5703125" style="135" customWidth="1"/>
    <col min="2559" max="2561" width="0" style="135" hidden="1" customWidth="1"/>
    <col min="2562" max="2562" width="9.140625" style="135" customWidth="1"/>
    <col min="2563" max="2570" width="0" style="135" hidden="1" customWidth="1"/>
    <col min="2571" max="2806" width="9.140625" style="135"/>
    <col min="2807" max="2807" width="6.28515625" style="135" customWidth="1"/>
    <col min="2808" max="2808" width="43.42578125" style="135" customWidth="1"/>
    <col min="2809" max="2809" width="17.85546875" style="135" customWidth="1"/>
    <col min="2810" max="2810" width="14.42578125" style="135" customWidth="1"/>
    <col min="2811" max="2813" width="0" style="135" hidden="1" customWidth="1"/>
    <col min="2814" max="2814" width="15.5703125" style="135" customWidth="1"/>
    <col min="2815" max="2817" width="0" style="135" hidden="1" customWidth="1"/>
    <col min="2818" max="2818" width="9.140625" style="135" customWidth="1"/>
    <col min="2819" max="2826" width="0" style="135" hidden="1" customWidth="1"/>
    <col min="2827" max="3062" width="9.140625" style="135"/>
    <col min="3063" max="3063" width="6.28515625" style="135" customWidth="1"/>
    <col min="3064" max="3064" width="43.42578125" style="135" customWidth="1"/>
    <col min="3065" max="3065" width="17.85546875" style="135" customWidth="1"/>
    <col min="3066" max="3066" width="14.42578125" style="135" customWidth="1"/>
    <col min="3067" max="3069" width="0" style="135" hidden="1" customWidth="1"/>
    <col min="3070" max="3070" width="15.5703125" style="135" customWidth="1"/>
    <col min="3071" max="3073" width="0" style="135" hidden="1" customWidth="1"/>
    <col min="3074" max="3074" width="9.140625" style="135" customWidth="1"/>
    <col min="3075" max="3082" width="0" style="135" hidden="1" customWidth="1"/>
    <col min="3083" max="3318" width="9.140625" style="135"/>
    <col min="3319" max="3319" width="6.28515625" style="135" customWidth="1"/>
    <col min="3320" max="3320" width="43.42578125" style="135" customWidth="1"/>
    <col min="3321" max="3321" width="17.85546875" style="135" customWidth="1"/>
    <col min="3322" max="3322" width="14.42578125" style="135" customWidth="1"/>
    <col min="3323" max="3325" width="0" style="135" hidden="1" customWidth="1"/>
    <col min="3326" max="3326" width="15.5703125" style="135" customWidth="1"/>
    <col min="3327" max="3329" width="0" style="135" hidden="1" customWidth="1"/>
    <col min="3330" max="3330" width="9.140625" style="135" customWidth="1"/>
    <col min="3331" max="3338" width="0" style="135" hidden="1" customWidth="1"/>
    <col min="3339" max="3574" width="9.140625" style="135"/>
    <col min="3575" max="3575" width="6.28515625" style="135" customWidth="1"/>
    <col min="3576" max="3576" width="43.42578125" style="135" customWidth="1"/>
    <col min="3577" max="3577" width="17.85546875" style="135" customWidth="1"/>
    <col min="3578" max="3578" width="14.42578125" style="135" customWidth="1"/>
    <col min="3579" max="3581" width="0" style="135" hidden="1" customWidth="1"/>
    <col min="3582" max="3582" width="15.5703125" style="135" customWidth="1"/>
    <col min="3583" max="3585" width="0" style="135" hidden="1" customWidth="1"/>
    <col min="3586" max="3586" width="9.140625" style="135" customWidth="1"/>
    <col min="3587" max="3594" width="0" style="135" hidden="1" customWidth="1"/>
    <col min="3595" max="3830" width="9.140625" style="135"/>
    <col min="3831" max="3831" width="6.28515625" style="135" customWidth="1"/>
    <col min="3832" max="3832" width="43.42578125" style="135" customWidth="1"/>
    <col min="3833" max="3833" width="17.85546875" style="135" customWidth="1"/>
    <col min="3834" max="3834" width="14.42578125" style="135" customWidth="1"/>
    <col min="3835" max="3837" width="0" style="135" hidden="1" customWidth="1"/>
    <col min="3838" max="3838" width="15.5703125" style="135" customWidth="1"/>
    <col min="3839" max="3841" width="0" style="135" hidden="1" customWidth="1"/>
    <col min="3842" max="3842" width="9.140625" style="135" customWidth="1"/>
    <col min="3843" max="3850" width="0" style="135" hidden="1" customWidth="1"/>
    <col min="3851" max="4086" width="9.140625" style="135"/>
    <col min="4087" max="4087" width="6.28515625" style="135" customWidth="1"/>
    <col min="4088" max="4088" width="43.42578125" style="135" customWidth="1"/>
    <col min="4089" max="4089" width="17.85546875" style="135" customWidth="1"/>
    <col min="4090" max="4090" width="14.42578125" style="135" customWidth="1"/>
    <col min="4091" max="4093" width="0" style="135" hidden="1" customWidth="1"/>
    <col min="4094" max="4094" width="15.5703125" style="135" customWidth="1"/>
    <col min="4095" max="4097" width="0" style="135" hidden="1" customWidth="1"/>
    <col min="4098" max="4098" width="9.140625" style="135" customWidth="1"/>
    <col min="4099" max="4106" width="0" style="135" hidden="1" customWidth="1"/>
    <col min="4107" max="4342" width="9.140625" style="135"/>
    <col min="4343" max="4343" width="6.28515625" style="135" customWidth="1"/>
    <col min="4344" max="4344" width="43.42578125" style="135" customWidth="1"/>
    <col min="4345" max="4345" width="17.85546875" style="135" customWidth="1"/>
    <col min="4346" max="4346" width="14.42578125" style="135" customWidth="1"/>
    <col min="4347" max="4349" width="0" style="135" hidden="1" customWidth="1"/>
    <col min="4350" max="4350" width="15.5703125" style="135" customWidth="1"/>
    <col min="4351" max="4353" width="0" style="135" hidden="1" customWidth="1"/>
    <col min="4354" max="4354" width="9.140625" style="135" customWidth="1"/>
    <col min="4355" max="4362" width="0" style="135" hidden="1" customWidth="1"/>
    <col min="4363" max="4598" width="9.140625" style="135"/>
    <col min="4599" max="4599" width="6.28515625" style="135" customWidth="1"/>
    <col min="4600" max="4600" width="43.42578125" style="135" customWidth="1"/>
    <col min="4601" max="4601" width="17.85546875" style="135" customWidth="1"/>
    <col min="4602" max="4602" width="14.42578125" style="135" customWidth="1"/>
    <col min="4603" max="4605" width="0" style="135" hidden="1" customWidth="1"/>
    <col min="4606" max="4606" width="15.5703125" style="135" customWidth="1"/>
    <col min="4607" max="4609" width="0" style="135" hidden="1" customWidth="1"/>
    <col min="4610" max="4610" width="9.140625" style="135" customWidth="1"/>
    <col min="4611" max="4618" width="0" style="135" hidden="1" customWidth="1"/>
    <col min="4619" max="4854" width="9.140625" style="135"/>
    <col min="4855" max="4855" width="6.28515625" style="135" customWidth="1"/>
    <col min="4856" max="4856" width="43.42578125" style="135" customWidth="1"/>
    <col min="4857" max="4857" width="17.85546875" style="135" customWidth="1"/>
    <col min="4858" max="4858" width="14.42578125" style="135" customWidth="1"/>
    <col min="4859" max="4861" width="0" style="135" hidden="1" customWidth="1"/>
    <col min="4862" max="4862" width="15.5703125" style="135" customWidth="1"/>
    <col min="4863" max="4865" width="0" style="135" hidden="1" customWidth="1"/>
    <col min="4866" max="4866" width="9.140625" style="135" customWidth="1"/>
    <col min="4867" max="4874" width="0" style="135" hidden="1" customWidth="1"/>
    <col min="4875" max="5110" width="9.140625" style="135"/>
    <col min="5111" max="5111" width="6.28515625" style="135" customWidth="1"/>
    <col min="5112" max="5112" width="43.42578125" style="135" customWidth="1"/>
    <col min="5113" max="5113" width="17.85546875" style="135" customWidth="1"/>
    <col min="5114" max="5114" width="14.42578125" style="135" customWidth="1"/>
    <col min="5115" max="5117" width="0" style="135" hidden="1" customWidth="1"/>
    <col min="5118" max="5118" width="15.5703125" style="135" customWidth="1"/>
    <col min="5119" max="5121" width="0" style="135" hidden="1" customWidth="1"/>
    <col min="5122" max="5122" width="9.140625" style="135" customWidth="1"/>
    <col min="5123" max="5130" width="0" style="135" hidden="1" customWidth="1"/>
    <col min="5131" max="5366" width="9.140625" style="135"/>
    <col min="5367" max="5367" width="6.28515625" style="135" customWidth="1"/>
    <col min="5368" max="5368" width="43.42578125" style="135" customWidth="1"/>
    <col min="5369" max="5369" width="17.85546875" style="135" customWidth="1"/>
    <col min="5370" max="5370" width="14.42578125" style="135" customWidth="1"/>
    <col min="5371" max="5373" width="0" style="135" hidden="1" customWidth="1"/>
    <col min="5374" max="5374" width="15.5703125" style="135" customWidth="1"/>
    <col min="5375" max="5377" width="0" style="135" hidden="1" customWidth="1"/>
    <col min="5378" max="5378" width="9.140625" style="135" customWidth="1"/>
    <col min="5379" max="5386" width="0" style="135" hidden="1" customWidth="1"/>
    <col min="5387" max="5622" width="9.140625" style="135"/>
    <col min="5623" max="5623" width="6.28515625" style="135" customWidth="1"/>
    <col min="5624" max="5624" width="43.42578125" style="135" customWidth="1"/>
    <col min="5625" max="5625" width="17.85546875" style="135" customWidth="1"/>
    <col min="5626" max="5626" width="14.42578125" style="135" customWidth="1"/>
    <col min="5627" max="5629" width="0" style="135" hidden="1" customWidth="1"/>
    <col min="5630" max="5630" width="15.5703125" style="135" customWidth="1"/>
    <col min="5631" max="5633" width="0" style="135" hidden="1" customWidth="1"/>
    <col min="5634" max="5634" width="9.140625" style="135" customWidth="1"/>
    <col min="5635" max="5642" width="0" style="135" hidden="1" customWidth="1"/>
    <col min="5643" max="5878" width="9.140625" style="135"/>
    <col min="5879" max="5879" width="6.28515625" style="135" customWidth="1"/>
    <col min="5880" max="5880" width="43.42578125" style="135" customWidth="1"/>
    <col min="5881" max="5881" width="17.85546875" style="135" customWidth="1"/>
    <col min="5882" max="5882" width="14.42578125" style="135" customWidth="1"/>
    <col min="5883" max="5885" width="0" style="135" hidden="1" customWidth="1"/>
    <col min="5886" max="5886" width="15.5703125" style="135" customWidth="1"/>
    <col min="5887" max="5889" width="0" style="135" hidden="1" customWidth="1"/>
    <col min="5890" max="5890" width="9.140625" style="135" customWidth="1"/>
    <col min="5891" max="5898" width="0" style="135" hidden="1" customWidth="1"/>
    <col min="5899" max="6134" width="9.140625" style="135"/>
    <col min="6135" max="6135" width="6.28515625" style="135" customWidth="1"/>
    <col min="6136" max="6136" width="43.42578125" style="135" customWidth="1"/>
    <col min="6137" max="6137" width="17.85546875" style="135" customWidth="1"/>
    <col min="6138" max="6138" width="14.42578125" style="135" customWidth="1"/>
    <col min="6139" max="6141" width="0" style="135" hidden="1" customWidth="1"/>
    <col min="6142" max="6142" width="15.5703125" style="135" customWidth="1"/>
    <col min="6143" max="6145" width="0" style="135" hidden="1" customWidth="1"/>
    <col min="6146" max="6146" width="9.140625" style="135" customWidth="1"/>
    <col min="6147" max="6154" width="0" style="135" hidden="1" customWidth="1"/>
    <col min="6155" max="6390" width="9.140625" style="135"/>
    <col min="6391" max="6391" width="6.28515625" style="135" customWidth="1"/>
    <col min="6392" max="6392" width="43.42578125" style="135" customWidth="1"/>
    <col min="6393" max="6393" width="17.85546875" style="135" customWidth="1"/>
    <col min="6394" max="6394" width="14.42578125" style="135" customWidth="1"/>
    <col min="6395" max="6397" width="0" style="135" hidden="1" customWidth="1"/>
    <col min="6398" max="6398" width="15.5703125" style="135" customWidth="1"/>
    <col min="6399" max="6401" width="0" style="135" hidden="1" customWidth="1"/>
    <col min="6402" max="6402" width="9.140625" style="135" customWidth="1"/>
    <col min="6403" max="6410" width="0" style="135" hidden="1" customWidth="1"/>
    <col min="6411" max="6646" width="9.140625" style="135"/>
    <col min="6647" max="6647" width="6.28515625" style="135" customWidth="1"/>
    <col min="6648" max="6648" width="43.42578125" style="135" customWidth="1"/>
    <col min="6649" max="6649" width="17.85546875" style="135" customWidth="1"/>
    <col min="6650" max="6650" width="14.42578125" style="135" customWidth="1"/>
    <col min="6651" max="6653" width="0" style="135" hidden="1" customWidth="1"/>
    <col min="6654" max="6654" width="15.5703125" style="135" customWidth="1"/>
    <col min="6655" max="6657" width="0" style="135" hidden="1" customWidth="1"/>
    <col min="6658" max="6658" width="9.140625" style="135" customWidth="1"/>
    <col min="6659" max="6666" width="0" style="135" hidden="1" customWidth="1"/>
    <col min="6667" max="6902" width="9.140625" style="135"/>
    <col min="6903" max="6903" width="6.28515625" style="135" customWidth="1"/>
    <col min="6904" max="6904" width="43.42578125" style="135" customWidth="1"/>
    <col min="6905" max="6905" width="17.85546875" style="135" customWidth="1"/>
    <col min="6906" max="6906" width="14.42578125" style="135" customWidth="1"/>
    <col min="6907" max="6909" width="0" style="135" hidden="1" customWidth="1"/>
    <col min="6910" max="6910" width="15.5703125" style="135" customWidth="1"/>
    <col min="6911" max="6913" width="0" style="135" hidden="1" customWidth="1"/>
    <col min="6914" max="6914" width="9.140625" style="135" customWidth="1"/>
    <col min="6915" max="6922" width="0" style="135" hidden="1" customWidth="1"/>
    <col min="6923" max="7158" width="9.140625" style="135"/>
    <col min="7159" max="7159" width="6.28515625" style="135" customWidth="1"/>
    <col min="7160" max="7160" width="43.42578125" style="135" customWidth="1"/>
    <col min="7161" max="7161" width="17.85546875" style="135" customWidth="1"/>
    <col min="7162" max="7162" width="14.42578125" style="135" customWidth="1"/>
    <col min="7163" max="7165" width="0" style="135" hidden="1" customWidth="1"/>
    <col min="7166" max="7166" width="15.5703125" style="135" customWidth="1"/>
    <col min="7167" max="7169" width="0" style="135" hidden="1" customWidth="1"/>
    <col min="7170" max="7170" width="9.140625" style="135" customWidth="1"/>
    <col min="7171" max="7178" width="0" style="135" hidden="1" customWidth="1"/>
    <col min="7179" max="7414" width="9.140625" style="135"/>
    <col min="7415" max="7415" width="6.28515625" style="135" customWidth="1"/>
    <col min="7416" max="7416" width="43.42578125" style="135" customWidth="1"/>
    <col min="7417" max="7417" width="17.85546875" style="135" customWidth="1"/>
    <col min="7418" max="7418" width="14.42578125" style="135" customWidth="1"/>
    <col min="7419" max="7421" width="0" style="135" hidden="1" customWidth="1"/>
    <col min="7422" max="7422" width="15.5703125" style="135" customWidth="1"/>
    <col min="7423" max="7425" width="0" style="135" hidden="1" customWidth="1"/>
    <col min="7426" max="7426" width="9.140625" style="135" customWidth="1"/>
    <col min="7427" max="7434" width="0" style="135" hidden="1" customWidth="1"/>
    <col min="7435" max="7670" width="9.140625" style="135"/>
    <col min="7671" max="7671" width="6.28515625" style="135" customWidth="1"/>
    <col min="7672" max="7672" width="43.42578125" style="135" customWidth="1"/>
    <col min="7673" max="7673" width="17.85546875" style="135" customWidth="1"/>
    <col min="7674" max="7674" width="14.42578125" style="135" customWidth="1"/>
    <col min="7675" max="7677" width="0" style="135" hidden="1" customWidth="1"/>
    <col min="7678" max="7678" width="15.5703125" style="135" customWidth="1"/>
    <col min="7679" max="7681" width="0" style="135" hidden="1" customWidth="1"/>
    <col min="7682" max="7682" width="9.140625" style="135" customWidth="1"/>
    <col min="7683" max="7690" width="0" style="135" hidden="1" customWidth="1"/>
    <col min="7691" max="7926" width="9.140625" style="135"/>
    <col min="7927" max="7927" width="6.28515625" style="135" customWidth="1"/>
    <col min="7928" max="7928" width="43.42578125" style="135" customWidth="1"/>
    <col min="7929" max="7929" width="17.85546875" style="135" customWidth="1"/>
    <col min="7930" max="7930" width="14.42578125" style="135" customWidth="1"/>
    <col min="7931" max="7933" width="0" style="135" hidden="1" customWidth="1"/>
    <col min="7934" max="7934" width="15.5703125" style="135" customWidth="1"/>
    <col min="7935" max="7937" width="0" style="135" hidden="1" customWidth="1"/>
    <col min="7938" max="7938" width="9.140625" style="135" customWidth="1"/>
    <col min="7939" max="7946" width="0" style="135" hidden="1" customWidth="1"/>
    <col min="7947" max="8182" width="9.140625" style="135"/>
    <col min="8183" max="8183" width="6.28515625" style="135" customWidth="1"/>
    <col min="8184" max="8184" width="43.42578125" style="135" customWidth="1"/>
    <col min="8185" max="8185" width="17.85546875" style="135" customWidth="1"/>
    <col min="8186" max="8186" width="14.42578125" style="135" customWidth="1"/>
    <col min="8187" max="8189" width="0" style="135" hidden="1" customWidth="1"/>
    <col min="8190" max="8190" width="15.5703125" style="135" customWidth="1"/>
    <col min="8191" max="8193" width="0" style="135" hidden="1" customWidth="1"/>
    <col min="8194" max="8194" width="9.140625" style="135" customWidth="1"/>
    <col min="8195" max="8202" width="0" style="135" hidden="1" customWidth="1"/>
    <col min="8203" max="8438" width="9.140625" style="135"/>
    <col min="8439" max="8439" width="6.28515625" style="135" customWidth="1"/>
    <col min="8440" max="8440" width="43.42578125" style="135" customWidth="1"/>
    <col min="8441" max="8441" width="17.85546875" style="135" customWidth="1"/>
    <col min="8442" max="8442" width="14.42578125" style="135" customWidth="1"/>
    <col min="8443" max="8445" width="0" style="135" hidden="1" customWidth="1"/>
    <col min="8446" max="8446" width="15.5703125" style="135" customWidth="1"/>
    <col min="8447" max="8449" width="0" style="135" hidden="1" customWidth="1"/>
    <col min="8450" max="8450" width="9.140625" style="135" customWidth="1"/>
    <col min="8451" max="8458" width="0" style="135" hidden="1" customWidth="1"/>
    <col min="8459" max="8694" width="9.140625" style="135"/>
    <col min="8695" max="8695" width="6.28515625" style="135" customWidth="1"/>
    <col min="8696" max="8696" width="43.42578125" style="135" customWidth="1"/>
    <col min="8697" max="8697" width="17.85546875" style="135" customWidth="1"/>
    <col min="8698" max="8698" width="14.42578125" style="135" customWidth="1"/>
    <col min="8699" max="8701" width="0" style="135" hidden="1" customWidth="1"/>
    <col min="8702" max="8702" width="15.5703125" style="135" customWidth="1"/>
    <col min="8703" max="8705" width="0" style="135" hidden="1" customWidth="1"/>
    <col min="8706" max="8706" width="9.140625" style="135" customWidth="1"/>
    <col min="8707" max="8714" width="0" style="135" hidden="1" customWidth="1"/>
    <col min="8715" max="8950" width="9.140625" style="135"/>
    <col min="8951" max="8951" width="6.28515625" style="135" customWidth="1"/>
    <col min="8952" max="8952" width="43.42578125" style="135" customWidth="1"/>
    <col min="8953" max="8953" width="17.85546875" style="135" customWidth="1"/>
    <col min="8954" max="8954" width="14.42578125" style="135" customWidth="1"/>
    <col min="8955" max="8957" width="0" style="135" hidden="1" customWidth="1"/>
    <col min="8958" max="8958" width="15.5703125" style="135" customWidth="1"/>
    <col min="8959" max="8961" width="0" style="135" hidden="1" customWidth="1"/>
    <col min="8962" max="8962" width="9.140625" style="135" customWidth="1"/>
    <col min="8963" max="8970" width="0" style="135" hidden="1" customWidth="1"/>
    <col min="8971" max="9206" width="9.140625" style="135"/>
    <col min="9207" max="9207" width="6.28515625" style="135" customWidth="1"/>
    <col min="9208" max="9208" width="43.42578125" style="135" customWidth="1"/>
    <col min="9209" max="9209" width="17.85546875" style="135" customWidth="1"/>
    <col min="9210" max="9210" width="14.42578125" style="135" customWidth="1"/>
    <col min="9211" max="9213" width="0" style="135" hidden="1" customWidth="1"/>
    <col min="9214" max="9214" width="15.5703125" style="135" customWidth="1"/>
    <col min="9215" max="9217" width="0" style="135" hidden="1" customWidth="1"/>
    <col min="9218" max="9218" width="9.140625" style="135" customWidth="1"/>
    <col min="9219" max="9226" width="0" style="135" hidden="1" customWidth="1"/>
    <col min="9227" max="9462" width="9.140625" style="135"/>
    <col min="9463" max="9463" width="6.28515625" style="135" customWidth="1"/>
    <col min="9464" max="9464" width="43.42578125" style="135" customWidth="1"/>
    <col min="9465" max="9465" width="17.85546875" style="135" customWidth="1"/>
    <col min="9466" max="9466" width="14.42578125" style="135" customWidth="1"/>
    <col min="9467" max="9469" width="0" style="135" hidden="1" customWidth="1"/>
    <col min="9470" max="9470" width="15.5703125" style="135" customWidth="1"/>
    <col min="9471" max="9473" width="0" style="135" hidden="1" customWidth="1"/>
    <col min="9474" max="9474" width="9.140625" style="135" customWidth="1"/>
    <col min="9475" max="9482" width="0" style="135" hidden="1" customWidth="1"/>
    <col min="9483" max="9718" width="9.140625" style="135"/>
    <col min="9719" max="9719" width="6.28515625" style="135" customWidth="1"/>
    <col min="9720" max="9720" width="43.42578125" style="135" customWidth="1"/>
    <col min="9721" max="9721" width="17.85546875" style="135" customWidth="1"/>
    <col min="9722" max="9722" width="14.42578125" style="135" customWidth="1"/>
    <col min="9723" max="9725" width="0" style="135" hidden="1" customWidth="1"/>
    <col min="9726" max="9726" width="15.5703125" style="135" customWidth="1"/>
    <col min="9727" max="9729" width="0" style="135" hidden="1" customWidth="1"/>
    <col min="9730" max="9730" width="9.140625" style="135" customWidth="1"/>
    <col min="9731" max="9738" width="0" style="135" hidden="1" customWidth="1"/>
    <col min="9739" max="9974" width="9.140625" style="135"/>
    <col min="9975" max="9975" width="6.28515625" style="135" customWidth="1"/>
    <col min="9976" max="9976" width="43.42578125" style="135" customWidth="1"/>
    <col min="9977" max="9977" width="17.85546875" style="135" customWidth="1"/>
    <col min="9978" max="9978" width="14.42578125" style="135" customWidth="1"/>
    <col min="9979" max="9981" width="0" style="135" hidden="1" customWidth="1"/>
    <col min="9982" max="9982" width="15.5703125" style="135" customWidth="1"/>
    <col min="9983" max="9985" width="0" style="135" hidden="1" customWidth="1"/>
    <col min="9986" max="9986" width="9.140625" style="135" customWidth="1"/>
    <col min="9987" max="9994" width="0" style="135" hidden="1" customWidth="1"/>
    <col min="9995" max="10230" width="9.140625" style="135"/>
    <col min="10231" max="10231" width="6.28515625" style="135" customWidth="1"/>
    <col min="10232" max="10232" width="43.42578125" style="135" customWidth="1"/>
    <col min="10233" max="10233" width="17.85546875" style="135" customWidth="1"/>
    <col min="10234" max="10234" width="14.42578125" style="135" customWidth="1"/>
    <col min="10235" max="10237" width="0" style="135" hidden="1" customWidth="1"/>
    <col min="10238" max="10238" width="15.5703125" style="135" customWidth="1"/>
    <col min="10239" max="10241" width="0" style="135" hidden="1" customWidth="1"/>
    <col min="10242" max="10242" width="9.140625" style="135" customWidth="1"/>
    <col min="10243" max="10250" width="0" style="135" hidden="1" customWidth="1"/>
    <col min="10251" max="10486" width="9.140625" style="135"/>
    <col min="10487" max="10487" width="6.28515625" style="135" customWidth="1"/>
    <col min="10488" max="10488" width="43.42578125" style="135" customWidth="1"/>
    <col min="10489" max="10489" width="17.85546875" style="135" customWidth="1"/>
    <col min="10490" max="10490" width="14.42578125" style="135" customWidth="1"/>
    <col min="10491" max="10493" width="0" style="135" hidden="1" customWidth="1"/>
    <col min="10494" max="10494" width="15.5703125" style="135" customWidth="1"/>
    <col min="10495" max="10497" width="0" style="135" hidden="1" customWidth="1"/>
    <col min="10498" max="10498" width="9.140625" style="135" customWidth="1"/>
    <col min="10499" max="10506" width="0" style="135" hidden="1" customWidth="1"/>
    <col min="10507" max="10742" width="9.140625" style="135"/>
    <col min="10743" max="10743" width="6.28515625" style="135" customWidth="1"/>
    <col min="10744" max="10744" width="43.42578125" style="135" customWidth="1"/>
    <col min="10745" max="10745" width="17.85546875" style="135" customWidth="1"/>
    <col min="10746" max="10746" width="14.42578125" style="135" customWidth="1"/>
    <col min="10747" max="10749" width="0" style="135" hidden="1" customWidth="1"/>
    <col min="10750" max="10750" width="15.5703125" style="135" customWidth="1"/>
    <col min="10751" max="10753" width="0" style="135" hidden="1" customWidth="1"/>
    <col min="10754" max="10754" width="9.140625" style="135" customWidth="1"/>
    <col min="10755" max="10762" width="0" style="135" hidden="1" customWidth="1"/>
    <col min="10763" max="10998" width="9.140625" style="135"/>
    <col min="10999" max="10999" width="6.28515625" style="135" customWidth="1"/>
    <col min="11000" max="11000" width="43.42578125" style="135" customWidth="1"/>
    <col min="11001" max="11001" width="17.85546875" style="135" customWidth="1"/>
    <col min="11002" max="11002" width="14.42578125" style="135" customWidth="1"/>
    <col min="11003" max="11005" width="0" style="135" hidden="1" customWidth="1"/>
    <col min="11006" max="11006" width="15.5703125" style="135" customWidth="1"/>
    <col min="11007" max="11009" width="0" style="135" hidden="1" customWidth="1"/>
    <col min="11010" max="11010" width="9.140625" style="135" customWidth="1"/>
    <col min="11011" max="11018" width="0" style="135" hidden="1" customWidth="1"/>
    <col min="11019" max="11254" width="9.140625" style="135"/>
    <col min="11255" max="11255" width="6.28515625" style="135" customWidth="1"/>
    <col min="11256" max="11256" width="43.42578125" style="135" customWidth="1"/>
    <col min="11257" max="11257" width="17.85546875" style="135" customWidth="1"/>
    <col min="11258" max="11258" width="14.42578125" style="135" customWidth="1"/>
    <col min="11259" max="11261" width="0" style="135" hidden="1" customWidth="1"/>
    <col min="11262" max="11262" width="15.5703125" style="135" customWidth="1"/>
    <col min="11263" max="11265" width="0" style="135" hidden="1" customWidth="1"/>
    <col min="11266" max="11266" width="9.140625" style="135" customWidth="1"/>
    <col min="11267" max="11274" width="0" style="135" hidden="1" customWidth="1"/>
    <col min="11275" max="11510" width="9.140625" style="135"/>
    <col min="11511" max="11511" width="6.28515625" style="135" customWidth="1"/>
    <col min="11512" max="11512" width="43.42578125" style="135" customWidth="1"/>
    <col min="11513" max="11513" width="17.85546875" style="135" customWidth="1"/>
    <col min="11514" max="11514" width="14.42578125" style="135" customWidth="1"/>
    <col min="11515" max="11517" width="0" style="135" hidden="1" customWidth="1"/>
    <col min="11518" max="11518" width="15.5703125" style="135" customWidth="1"/>
    <col min="11519" max="11521" width="0" style="135" hidden="1" customWidth="1"/>
    <col min="11522" max="11522" width="9.140625" style="135" customWidth="1"/>
    <col min="11523" max="11530" width="0" style="135" hidden="1" customWidth="1"/>
    <col min="11531" max="11766" width="9.140625" style="135"/>
    <col min="11767" max="11767" width="6.28515625" style="135" customWidth="1"/>
    <col min="11768" max="11768" width="43.42578125" style="135" customWidth="1"/>
    <col min="11769" max="11769" width="17.85546875" style="135" customWidth="1"/>
    <col min="11770" max="11770" width="14.42578125" style="135" customWidth="1"/>
    <col min="11771" max="11773" width="0" style="135" hidden="1" customWidth="1"/>
    <col min="11774" max="11774" width="15.5703125" style="135" customWidth="1"/>
    <col min="11775" max="11777" width="0" style="135" hidden="1" customWidth="1"/>
    <col min="11778" max="11778" width="9.140625" style="135" customWidth="1"/>
    <col min="11779" max="11786" width="0" style="135" hidden="1" customWidth="1"/>
    <col min="11787" max="12022" width="9.140625" style="135"/>
    <col min="12023" max="12023" width="6.28515625" style="135" customWidth="1"/>
    <col min="12024" max="12024" width="43.42578125" style="135" customWidth="1"/>
    <col min="12025" max="12025" width="17.85546875" style="135" customWidth="1"/>
    <col min="12026" max="12026" width="14.42578125" style="135" customWidth="1"/>
    <col min="12027" max="12029" width="0" style="135" hidden="1" customWidth="1"/>
    <col min="12030" max="12030" width="15.5703125" style="135" customWidth="1"/>
    <col min="12031" max="12033" width="0" style="135" hidden="1" customWidth="1"/>
    <col min="12034" max="12034" width="9.140625" style="135" customWidth="1"/>
    <col min="12035" max="12042" width="0" style="135" hidden="1" customWidth="1"/>
    <col min="12043" max="12278" width="9.140625" style="135"/>
    <col min="12279" max="12279" width="6.28515625" style="135" customWidth="1"/>
    <col min="12280" max="12280" width="43.42578125" style="135" customWidth="1"/>
    <col min="12281" max="12281" width="17.85546875" style="135" customWidth="1"/>
    <col min="12282" max="12282" width="14.42578125" style="135" customWidth="1"/>
    <col min="12283" max="12285" width="0" style="135" hidden="1" customWidth="1"/>
    <col min="12286" max="12286" width="15.5703125" style="135" customWidth="1"/>
    <col min="12287" max="12289" width="0" style="135" hidden="1" customWidth="1"/>
    <col min="12290" max="12290" width="9.140625" style="135" customWidth="1"/>
    <col min="12291" max="12298" width="0" style="135" hidden="1" customWidth="1"/>
    <col min="12299" max="12534" width="9.140625" style="135"/>
    <col min="12535" max="12535" width="6.28515625" style="135" customWidth="1"/>
    <col min="12536" max="12536" width="43.42578125" style="135" customWidth="1"/>
    <col min="12537" max="12537" width="17.85546875" style="135" customWidth="1"/>
    <col min="12538" max="12538" width="14.42578125" style="135" customWidth="1"/>
    <col min="12539" max="12541" width="0" style="135" hidden="1" customWidth="1"/>
    <col min="12542" max="12542" width="15.5703125" style="135" customWidth="1"/>
    <col min="12543" max="12545" width="0" style="135" hidden="1" customWidth="1"/>
    <col min="12546" max="12546" width="9.140625" style="135" customWidth="1"/>
    <col min="12547" max="12554" width="0" style="135" hidden="1" customWidth="1"/>
    <col min="12555" max="12790" width="9.140625" style="135"/>
    <col min="12791" max="12791" width="6.28515625" style="135" customWidth="1"/>
    <col min="12792" max="12792" width="43.42578125" style="135" customWidth="1"/>
    <col min="12793" max="12793" width="17.85546875" style="135" customWidth="1"/>
    <col min="12794" max="12794" width="14.42578125" style="135" customWidth="1"/>
    <col min="12795" max="12797" width="0" style="135" hidden="1" customWidth="1"/>
    <col min="12798" max="12798" width="15.5703125" style="135" customWidth="1"/>
    <col min="12799" max="12801" width="0" style="135" hidden="1" customWidth="1"/>
    <col min="12802" max="12802" width="9.140625" style="135" customWidth="1"/>
    <col min="12803" max="12810" width="0" style="135" hidden="1" customWidth="1"/>
    <col min="12811" max="13046" width="9.140625" style="135"/>
    <col min="13047" max="13047" width="6.28515625" style="135" customWidth="1"/>
    <col min="13048" max="13048" width="43.42578125" style="135" customWidth="1"/>
    <col min="13049" max="13049" width="17.85546875" style="135" customWidth="1"/>
    <col min="13050" max="13050" width="14.42578125" style="135" customWidth="1"/>
    <col min="13051" max="13053" width="0" style="135" hidden="1" customWidth="1"/>
    <col min="13054" max="13054" width="15.5703125" style="135" customWidth="1"/>
    <col min="13055" max="13057" width="0" style="135" hidden="1" customWidth="1"/>
    <col min="13058" max="13058" width="9.140625" style="135" customWidth="1"/>
    <col min="13059" max="13066" width="0" style="135" hidden="1" customWidth="1"/>
    <col min="13067" max="13302" width="9.140625" style="135"/>
    <col min="13303" max="13303" width="6.28515625" style="135" customWidth="1"/>
    <col min="13304" max="13304" width="43.42578125" style="135" customWidth="1"/>
    <col min="13305" max="13305" width="17.85546875" style="135" customWidth="1"/>
    <col min="13306" max="13306" width="14.42578125" style="135" customWidth="1"/>
    <col min="13307" max="13309" width="0" style="135" hidden="1" customWidth="1"/>
    <col min="13310" max="13310" width="15.5703125" style="135" customWidth="1"/>
    <col min="13311" max="13313" width="0" style="135" hidden="1" customWidth="1"/>
    <col min="13314" max="13314" width="9.140625" style="135" customWidth="1"/>
    <col min="13315" max="13322" width="0" style="135" hidden="1" customWidth="1"/>
    <col min="13323" max="13558" width="9.140625" style="135"/>
    <col min="13559" max="13559" width="6.28515625" style="135" customWidth="1"/>
    <col min="13560" max="13560" width="43.42578125" style="135" customWidth="1"/>
    <col min="13561" max="13561" width="17.85546875" style="135" customWidth="1"/>
    <col min="13562" max="13562" width="14.42578125" style="135" customWidth="1"/>
    <col min="13563" max="13565" width="0" style="135" hidden="1" customWidth="1"/>
    <col min="13566" max="13566" width="15.5703125" style="135" customWidth="1"/>
    <col min="13567" max="13569" width="0" style="135" hidden="1" customWidth="1"/>
    <col min="13570" max="13570" width="9.140625" style="135" customWidth="1"/>
    <col min="13571" max="13578" width="0" style="135" hidden="1" customWidth="1"/>
    <col min="13579" max="13814" width="9.140625" style="135"/>
    <col min="13815" max="13815" width="6.28515625" style="135" customWidth="1"/>
    <col min="13816" max="13816" width="43.42578125" style="135" customWidth="1"/>
    <col min="13817" max="13817" width="17.85546875" style="135" customWidth="1"/>
    <col min="13818" max="13818" width="14.42578125" style="135" customWidth="1"/>
    <col min="13819" max="13821" width="0" style="135" hidden="1" customWidth="1"/>
    <col min="13822" max="13822" width="15.5703125" style="135" customWidth="1"/>
    <col min="13823" max="13825" width="0" style="135" hidden="1" customWidth="1"/>
    <col min="13826" max="13826" width="9.140625" style="135" customWidth="1"/>
    <col min="13827" max="13834" width="0" style="135" hidden="1" customWidth="1"/>
    <col min="13835" max="14070" width="9.140625" style="135"/>
    <col min="14071" max="14071" width="6.28515625" style="135" customWidth="1"/>
    <col min="14072" max="14072" width="43.42578125" style="135" customWidth="1"/>
    <col min="14073" max="14073" width="17.85546875" style="135" customWidth="1"/>
    <col min="14074" max="14074" width="14.42578125" style="135" customWidth="1"/>
    <col min="14075" max="14077" width="0" style="135" hidden="1" customWidth="1"/>
    <col min="14078" max="14078" width="15.5703125" style="135" customWidth="1"/>
    <col min="14079" max="14081" width="0" style="135" hidden="1" customWidth="1"/>
    <col min="14082" max="14082" width="9.140625" style="135" customWidth="1"/>
    <col min="14083" max="14090" width="0" style="135" hidden="1" customWidth="1"/>
    <col min="14091" max="14326" width="9.140625" style="135"/>
    <col min="14327" max="14327" width="6.28515625" style="135" customWidth="1"/>
    <col min="14328" max="14328" width="43.42578125" style="135" customWidth="1"/>
    <col min="14329" max="14329" width="17.85546875" style="135" customWidth="1"/>
    <col min="14330" max="14330" width="14.42578125" style="135" customWidth="1"/>
    <col min="14331" max="14333" width="0" style="135" hidden="1" customWidth="1"/>
    <col min="14334" max="14334" width="15.5703125" style="135" customWidth="1"/>
    <col min="14335" max="14337" width="0" style="135" hidden="1" customWidth="1"/>
    <col min="14338" max="14338" width="9.140625" style="135" customWidth="1"/>
    <col min="14339" max="14346" width="0" style="135" hidden="1" customWidth="1"/>
    <col min="14347" max="14582" width="9.140625" style="135"/>
    <col min="14583" max="14583" width="6.28515625" style="135" customWidth="1"/>
    <col min="14584" max="14584" width="43.42578125" style="135" customWidth="1"/>
    <col min="14585" max="14585" width="17.85546875" style="135" customWidth="1"/>
    <col min="14586" max="14586" width="14.42578125" style="135" customWidth="1"/>
    <col min="14587" max="14589" width="0" style="135" hidden="1" customWidth="1"/>
    <col min="14590" max="14590" width="15.5703125" style="135" customWidth="1"/>
    <col min="14591" max="14593" width="0" style="135" hidden="1" customWidth="1"/>
    <col min="14594" max="14594" width="9.140625" style="135" customWidth="1"/>
    <col min="14595" max="14602" width="0" style="135" hidden="1" customWidth="1"/>
    <col min="14603" max="14838" width="9.140625" style="135"/>
    <col min="14839" max="14839" width="6.28515625" style="135" customWidth="1"/>
    <col min="14840" max="14840" width="43.42578125" style="135" customWidth="1"/>
    <col min="14841" max="14841" width="17.85546875" style="135" customWidth="1"/>
    <col min="14842" max="14842" width="14.42578125" style="135" customWidth="1"/>
    <col min="14843" max="14845" width="0" style="135" hidden="1" customWidth="1"/>
    <col min="14846" max="14846" width="15.5703125" style="135" customWidth="1"/>
    <col min="14847" max="14849" width="0" style="135" hidden="1" customWidth="1"/>
    <col min="14850" max="14850" width="9.140625" style="135" customWidth="1"/>
    <col min="14851" max="14858" width="0" style="135" hidden="1" customWidth="1"/>
    <col min="14859" max="15094" width="9.140625" style="135"/>
    <col min="15095" max="15095" width="6.28515625" style="135" customWidth="1"/>
    <col min="15096" max="15096" width="43.42578125" style="135" customWidth="1"/>
    <col min="15097" max="15097" width="17.85546875" style="135" customWidth="1"/>
    <col min="15098" max="15098" width="14.42578125" style="135" customWidth="1"/>
    <col min="15099" max="15101" width="0" style="135" hidden="1" customWidth="1"/>
    <col min="15102" max="15102" width="15.5703125" style="135" customWidth="1"/>
    <col min="15103" max="15105" width="0" style="135" hidden="1" customWidth="1"/>
    <col min="15106" max="15106" width="9.140625" style="135" customWidth="1"/>
    <col min="15107" max="15114" width="0" style="135" hidden="1" customWidth="1"/>
    <col min="15115" max="15350" width="9.140625" style="135"/>
    <col min="15351" max="15351" width="6.28515625" style="135" customWidth="1"/>
    <col min="15352" max="15352" width="43.42578125" style="135" customWidth="1"/>
    <col min="15353" max="15353" width="17.85546875" style="135" customWidth="1"/>
    <col min="15354" max="15354" width="14.42578125" style="135" customWidth="1"/>
    <col min="15355" max="15357" width="0" style="135" hidden="1" customWidth="1"/>
    <col min="15358" max="15358" width="15.5703125" style="135" customWidth="1"/>
    <col min="15359" max="15361" width="0" style="135" hidden="1" customWidth="1"/>
    <col min="15362" max="15362" width="9.140625" style="135" customWidth="1"/>
    <col min="15363" max="15370" width="0" style="135" hidden="1" customWidth="1"/>
    <col min="15371" max="15606" width="9.140625" style="135"/>
    <col min="15607" max="15607" width="6.28515625" style="135" customWidth="1"/>
    <col min="15608" max="15608" width="43.42578125" style="135" customWidth="1"/>
    <col min="15609" max="15609" width="17.85546875" style="135" customWidth="1"/>
    <col min="15610" max="15610" width="14.42578125" style="135" customWidth="1"/>
    <col min="15611" max="15613" width="0" style="135" hidden="1" customWidth="1"/>
    <col min="15614" max="15614" width="15.5703125" style="135" customWidth="1"/>
    <col min="15615" max="15617" width="0" style="135" hidden="1" customWidth="1"/>
    <col min="15618" max="15618" width="9.140625" style="135" customWidth="1"/>
    <col min="15619" max="15626" width="0" style="135" hidden="1" customWidth="1"/>
    <col min="15627" max="15862" width="9.140625" style="135"/>
    <col min="15863" max="15863" width="6.28515625" style="135" customWidth="1"/>
    <col min="15864" max="15864" width="43.42578125" style="135" customWidth="1"/>
    <col min="15865" max="15865" width="17.85546875" style="135" customWidth="1"/>
    <col min="15866" max="15866" width="14.42578125" style="135" customWidth="1"/>
    <col min="15867" max="15869" width="0" style="135" hidden="1" customWidth="1"/>
    <col min="15870" max="15870" width="15.5703125" style="135" customWidth="1"/>
    <col min="15871" max="15873" width="0" style="135" hidden="1" customWidth="1"/>
    <col min="15874" max="15874" width="9.140625" style="135" customWidth="1"/>
    <col min="15875" max="15882" width="0" style="135" hidden="1" customWidth="1"/>
    <col min="15883" max="16118" width="9.140625" style="135"/>
    <col min="16119" max="16119" width="6.28515625" style="135" customWidth="1"/>
    <col min="16120" max="16120" width="43.42578125" style="135" customWidth="1"/>
    <col min="16121" max="16121" width="17.85546875" style="135" customWidth="1"/>
    <col min="16122" max="16122" width="14.42578125" style="135" customWidth="1"/>
    <col min="16123" max="16125" width="0" style="135" hidden="1" customWidth="1"/>
    <col min="16126" max="16126" width="15.5703125" style="135" customWidth="1"/>
    <col min="16127" max="16129" width="0" style="135" hidden="1" customWidth="1"/>
    <col min="16130" max="16130" width="9.140625" style="135" customWidth="1"/>
    <col min="16131" max="16138" width="0" style="135" hidden="1" customWidth="1"/>
    <col min="16139" max="16384" width="9.140625" style="135"/>
  </cols>
  <sheetData>
    <row r="1" spans="1:6" ht="15" customHeight="1" x14ac:dyDescent="0.25">
      <c r="E1" s="468" t="s">
        <v>224</v>
      </c>
      <c r="F1" s="468"/>
    </row>
    <row r="2" spans="1:6" ht="93.75" customHeight="1" x14ac:dyDescent="0.25">
      <c r="E2" s="468" t="s">
        <v>269</v>
      </c>
      <c r="F2" s="468"/>
    </row>
    <row r="3" spans="1:6" ht="12.75" customHeight="1" x14ac:dyDescent="0.25"/>
    <row r="4" spans="1:6" ht="4.5" customHeight="1" x14ac:dyDescent="0.25"/>
    <row r="5" spans="1:6" ht="15" customHeight="1" x14ac:dyDescent="0.25">
      <c r="A5" s="469" t="s">
        <v>270</v>
      </c>
      <c r="B5" s="469"/>
      <c r="C5" s="469"/>
      <c r="D5" s="469"/>
    </row>
    <row r="6" spans="1:6" ht="15" customHeight="1" x14ac:dyDescent="0.25">
      <c r="B6" s="133"/>
      <c r="C6" s="133"/>
      <c r="D6" s="5"/>
    </row>
    <row r="7" spans="1:6" ht="17.25" customHeight="1" x14ac:dyDescent="0.25">
      <c r="A7" s="451" t="s">
        <v>271</v>
      </c>
      <c r="B7" s="451"/>
      <c r="C7" s="451"/>
      <c r="D7" s="451"/>
      <c r="E7" s="451"/>
      <c r="F7" s="451"/>
    </row>
    <row r="8" spans="1:6" ht="30.75" customHeight="1" x14ac:dyDescent="0.25">
      <c r="A8" s="452" t="s">
        <v>945</v>
      </c>
      <c r="B8" s="452"/>
      <c r="C8" s="452"/>
      <c r="D8" s="452"/>
      <c r="E8" s="452"/>
      <c r="F8" s="452"/>
    </row>
    <row r="9" spans="1:6" s="5" customFormat="1" ht="10.5" customHeight="1" x14ac:dyDescent="0.25">
      <c r="A9" s="6">
        <v>5</v>
      </c>
      <c r="B9" s="6">
        <v>55</v>
      </c>
      <c r="C9" s="59"/>
      <c r="E9" s="59"/>
      <c r="F9" s="59"/>
    </row>
    <row r="10" spans="1:6" ht="152.25" customHeight="1" x14ac:dyDescent="0.25">
      <c r="A10" s="101" t="s">
        <v>3</v>
      </c>
      <c r="B10" s="101" t="s">
        <v>4</v>
      </c>
      <c r="C10" s="101" t="s">
        <v>272</v>
      </c>
      <c r="D10" s="65" t="s">
        <v>320</v>
      </c>
      <c r="E10" s="41" t="s">
        <v>942</v>
      </c>
      <c r="F10" s="65" t="s">
        <v>213</v>
      </c>
    </row>
    <row r="11" spans="1:6" x14ac:dyDescent="0.25">
      <c r="A11" s="101">
        <v>1</v>
      </c>
      <c r="B11" s="101">
        <v>2</v>
      </c>
      <c r="C11" s="101">
        <v>3</v>
      </c>
      <c r="D11" s="65">
        <v>5</v>
      </c>
      <c r="E11" s="65">
        <v>6</v>
      </c>
      <c r="F11" s="65" t="s">
        <v>273</v>
      </c>
    </row>
    <row r="12" spans="1:6" ht="25.5" customHeight="1" x14ac:dyDescent="0.25">
      <c r="A12" s="68" t="s">
        <v>6</v>
      </c>
      <c r="B12" s="69" t="s">
        <v>274</v>
      </c>
      <c r="C12" s="68" t="s">
        <v>8</v>
      </c>
      <c r="D12" s="70">
        <f>D13+D22+D29+D30+D33</f>
        <v>229491</v>
      </c>
      <c r="E12" s="137">
        <f>E13+E21+E22+E29+E30+E33</f>
        <v>110498</v>
      </c>
      <c r="F12" s="108">
        <f>E12/D12-1</f>
        <v>-0.52</v>
      </c>
    </row>
    <row r="13" spans="1:6" s="139" customFormat="1" ht="17.25" customHeight="1" x14ac:dyDescent="0.25">
      <c r="A13" s="71">
        <v>1</v>
      </c>
      <c r="B13" s="72" t="s">
        <v>9</v>
      </c>
      <c r="C13" s="71" t="s">
        <v>10</v>
      </c>
      <c r="D13" s="83">
        <f>SUM(D14:D20)</f>
        <v>218892</v>
      </c>
      <c r="E13" s="138">
        <f>SUM(E14:E16)</f>
        <v>104703</v>
      </c>
      <c r="F13" s="127">
        <f>E13/D13-1</f>
        <v>-0.52</v>
      </c>
    </row>
    <row r="14" spans="1:6" x14ac:dyDescent="0.25">
      <c r="A14" s="80"/>
      <c r="B14" s="74" t="s">
        <v>11</v>
      </c>
      <c r="C14" s="71" t="s">
        <v>10</v>
      </c>
      <c r="D14" s="75"/>
      <c r="E14" s="65"/>
      <c r="F14" s="65"/>
    </row>
    <row r="15" spans="1:6" x14ac:dyDescent="0.25">
      <c r="A15" s="66" t="s">
        <v>12</v>
      </c>
      <c r="B15" s="74" t="s">
        <v>13</v>
      </c>
      <c r="C15" s="71" t="s">
        <v>10</v>
      </c>
      <c r="D15" s="75">
        <v>0</v>
      </c>
      <c r="E15" s="65">
        <v>0</v>
      </c>
      <c r="F15" s="54">
        <v>0</v>
      </c>
    </row>
    <row r="16" spans="1:6" ht="30" customHeight="1" x14ac:dyDescent="0.25">
      <c r="A16" s="66" t="s">
        <v>96</v>
      </c>
      <c r="B16" s="74" t="s">
        <v>321</v>
      </c>
      <c r="C16" s="71" t="s">
        <v>10</v>
      </c>
      <c r="D16" s="75">
        <v>218892</v>
      </c>
      <c r="E16" s="65">
        <f>203007-98304</f>
        <v>104703</v>
      </c>
      <c r="F16" s="54">
        <f>E16/D16-1</f>
        <v>-0.52</v>
      </c>
    </row>
    <row r="17" spans="1:6" hidden="1" x14ac:dyDescent="0.25">
      <c r="A17" s="66" t="s">
        <v>15</v>
      </c>
      <c r="B17" s="74" t="s">
        <v>16</v>
      </c>
      <c r="C17" s="71" t="s">
        <v>10</v>
      </c>
      <c r="D17" s="75"/>
      <c r="E17" s="140"/>
      <c r="F17" s="140"/>
    </row>
    <row r="18" spans="1:6" hidden="1" x14ac:dyDescent="0.25">
      <c r="A18" s="66" t="s">
        <v>161</v>
      </c>
      <c r="B18" s="78" t="s">
        <v>14</v>
      </c>
      <c r="C18" s="71" t="s">
        <v>10</v>
      </c>
      <c r="D18" s="75"/>
      <c r="E18" s="140"/>
      <c r="F18" s="140"/>
    </row>
    <row r="19" spans="1:6" hidden="1" x14ac:dyDescent="0.25">
      <c r="A19" s="66" t="s">
        <v>162</v>
      </c>
      <c r="B19" s="78" t="s">
        <v>163</v>
      </c>
      <c r="C19" s="71" t="s">
        <v>10</v>
      </c>
      <c r="D19" s="75"/>
      <c r="E19" s="140"/>
      <c r="F19" s="140"/>
    </row>
    <row r="20" spans="1:6" hidden="1" x14ac:dyDescent="0.25">
      <c r="A20" s="66" t="s">
        <v>164</v>
      </c>
      <c r="B20" s="78" t="s">
        <v>165</v>
      </c>
      <c r="C20" s="71" t="s">
        <v>10</v>
      </c>
      <c r="D20" s="75"/>
      <c r="E20" s="140"/>
      <c r="F20" s="140"/>
    </row>
    <row r="21" spans="1:6" s="139" customFormat="1" ht="56.25" customHeight="1" x14ac:dyDescent="0.25">
      <c r="A21" s="71" t="s">
        <v>1</v>
      </c>
      <c r="B21" s="72" t="s">
        <v>166</v>
      </c>
      <c r="C21" s="71" t="s">
        <v>10</v>
      </c>
      <c r="D21" s="83">
        <v>0</v>
      </c>
      <c r="E21" s="138">
        <v>0</v>
      </c>
      <c r="F21" s="141">
        <v>0</v>
      </c>
    </row>
    <row r="22" spans="1:6" s="139" customFormat="1" x14ac:dyDescent="0.25">
      <c r="A22" s="71" t="s">
        <v>54</v>
      </c>
      <c r="B22" s="72" t="s">
        <v>17</v>
      </c>
      <c r="C22" s="71" t="s">
        <v>10</v>
      </c>
      <c r="D22" s="83">
        <f>D24+D25</f>
        <v>6514</v>
      </c>
      <c r="E22" s="138">
        <f>E24+E25</f>
        <v>3678</v>
      </c>
      <c r="F22" s="127">
        <f>E22/D22-1</f>
        <v>-0.44</v>
      </c>
    </row>
    <row r="23" spans="1:6" x14ac:dyDescent="0.25">
      <c r="A23" s="71"/>
      <c r="B23" s="74" t="s">
        <v>11</v>
      </c>
      <c r="C23" s="71" t="s">
        <v>10</v>
      </c>
      <c r="D23" s="70"/>
      <c r="E23" s="65"/>
      <c r="F23" s="54"/>
    </row>
    <row r="24" spans="1:6" x14ac:dyDescent="0.25">
      <c r="A24" s="66" t="s">
        <v>139</v>
      </c>
      <c r="B24" s="74" t="s">
        <v>132</v>
      </c>
      <c r="C24" s="71" t="s">
        <v>10</v>
      </c>
      <c r="D24" s="75">
        <v>5900</v>
      </c>
      <c r="E24" s="65">
        <f>6625-3282</f>
        <v>3343</v>
      </c>
      <c r="F24" s="54">
        <f t="shared" ref="F24:F29" si="0">E24/D24-1</f>
        <v>-0.43</v>
      </c>
    </row>
    <row r="25" spans="1:6" x14ac:dyDescent="0.25">
      <c r="A25" s="66" t="s">
        <v>140</v>
      </c>
      <c r="B25" s="74" t="s">
        <v>141</v>
      </c>
      <c r="C25" s="71" t="s">
        <v>10</v>
      </c>
      <c r="D25" s="75">
        <v>614</v>
      </c>
      <c r="E25" s="65">
        <f>E26+E27+E28</f>
        <v>335</v>
      </c>
      <c r="F25" s="54">
        <f>E25/D25-1</f>
        <v>-0.45</v>
      </c>
    </row>
    <row r="26" spans="1:6" x14ac:dyDescent="0.25">
      <c r="A26" s="66" t="s">
        <v>318</v>
      </c>
      <c r="B26" s="48" t="s">
        <v>216</v>
      </c>
      <c r="C26" s="80" t="s">
        <v>10</v>
      </c>
      <c r="D26" s="82"/>
      <c r="E26" s="144">
        <f>368-180</f>
        <v>188</v>
      </c>
      <c r="F26" s="115">
        <v>0</v>
      </c>
    </row>
    <row r="27" spans="1:6" x14ac:dyDescent="0.25">
      <c r="A27" s="66" t="s">
        <v>319</v>
      </c>
      <c r="B27" s="48" t="s">
        <v>217</v>
      </c>
      <c r="C27" s="80" t="s">
        <v>10</v>
      </c>
      <c r="D27" s="82"/>
      <c r="E27" s="144">
        <f>199-101</f>
        <v>98</v>
      </c>
      <c r="F27" s="115">
        <v>0</v>
      </c>
    </row>
    <row r="28" spans="1:6" ht="30" x14ac:dyDescent="0.25">
      <c r="A28" s="66" t="s">
        <v>322</v>
      </c>
      <c r="B28" s="48" t="s">
        <v>219</v>
      </c>
      <c r="C28" s="80" t="s">
        <v>10</v>
      </c>
      <c r="D28" s="82"/>
      <c r="E28" s="144">
        <f>98-49</f>
        <v>49</v>
      </c>
      <c r="F28" s="115">
        <v>0</v>
      </c>
    </row>
    <row r="29" spans="1:6" s="139" customFormat="1" x14ac:dyDescent="0.25">
      <c r="A29" s="71" t="s">
        <v>53</v>
      </c>
      <c r="B29" s="72" t="s">
        <v>18</v>
      </c>
      <c r="C29" s="71" t="s">
        <v>10</v>
      </c>
      <c r="D29" s="138">
        <v>4085</v>
      </c>
      <c r="E29" s="138">
        <f>4397-2294</f>
        <v>2103</v>
      </c>
      <c r="F29" s="127">
        <f t="shared" si="0"/>
        <v>-0.49</v>
      </c>
    </row>
    <row r="30" spans="1:6" s="139" customFormat="1" x14ac:dyDescent="0.25">
      <c r="A30" s="71" t="s">
        <v>63</v>
      </c>
      <c r="B30" s="72" t="s">
        <v>19</v>
      </c>
      <c r="C30" s="71" t="s">
        <v>10</v>
      </c>
      <c r="D30" s="83">
        <f>D32</f>
        <v>0</v>
      </c>
      <c r="E30" s="138">
        <v>0</v>
      </c>
      <c r="F30" s="54">
        <v>0</v>
      </c>
    </row>
    <row r="31" spans="1:6" x14ac:dyDescent="0.25">
      <c r="A31" s="80"/>
      <c r="B31" s="74" t="s">
        <v>11</v>
      </c>
      <c r="C31" s="71" t="s">
        <v>10</v>
      </c>
      <c r="D31" s="75"/>
      <c r="E31" s="65"/>
      <c r="F31" s="54"/>
    </row>
    <row r="32" spans="1:6" ht="30" x14ac:dyDescent="0.25">
      <c r="A32" s="142" t="s">
        <v>64</v>
      </c>
      <c r="B32" s="74" t="s">
        <v>20</v>
      </c>
      <c r="C32" s="71" t="s">
        <v>10</v>
      </c>
      <c r="D32" s="75">
        <v>0</v>
      </c>
      <c r="E32" s="65">
        <v>0</v>
      </c>
      <c r="F32" s="54">
        <v>0</v>
      </c>
    </row>
    <row r="33" spans="1:6" s="139" customFormat="1" x14ac:dyDescent="0.25">
      <c r="A33" s="71" t="s">
        <v>68</v>
      </c>
      <c r="B33" s="72" t="s">
        <v>275</v>
      </c>
      <c r="C33" s="71" t="s">
        <v>10</v>
      </c>
      <c r="D33" s="83">
        <f>SUM(D34:D58)</f>
        <v>0</v>
      </c>
      <c r="E33" s="83">
        <f>E46</f>
        <v>14</v>
      </c>
      <c r="F33" s="127">
        <v>0</v>
      </c>
    </row>
    <row r="34" spans="1:6" x14ac:dyDescent="0.25">
      <c r="A34" s="66"/>
      <c r="B34" s="74" t="s">
        <v>11</v>
      </c>
      <c r="C34" s="71" t="s">
        <v>10</v>
      </c>
      <c r="D34" s="75"/>
      <c r="E34" s="65"/>
      <c r="F34" s="65"/>
    </row>
    <row r="35" spans="1:6" hidden="1" x14ac:dyDescent="0.25">
      <c r="A35" s="66" t="s">
        <v>69</v>
      </c>
      <c r="B35" s="74" t="s">
        <v>28</v>
      </c>
      <c r="C35" s="71" t="s">
        <v>10</v>
      </c>
      <c r="D35" s="75"/>
      <c r="E35" s="65"/>
      <c r="F35" s="65"/>
    </row>
    <row r="36" spans="1:6" ht="26.25" hidden="1" customHeight="1" x14ac:dyDescent="0.25">
      <c r="A36" s="66" t="s">
        <v>71</v>
      </c>
      <c r="B36" s="74" t="s">
        <v>167</v>
      </c>
      <c r="C36" s="71" t="s">
        <v>10</v>
      </c>
      <c r="D36" s="75"/>
      <c r="E36" s="65"/>
      <c r="F36" s="65"/>
    </row>
    <row r="37" spans="1:6" hidden="1" x14ac:dyDescent="0.25">
      <c r="A37" s="66" t="s">
        <v>72</v>
      </c>
      <c r="B37" s="74" t="s">
        <v>30</v>
      </c>
      <c r="C37" s="71" t="s">
        <v>10</v>
      </c>
      <c r="D37" s="82"/>
      <c r="E37" s="65"/>
      <c r="F37" s="65"/>
    </row>
    <row r="38" spans="1:6" hidden="1" x14ac:dyDescent="0.25">
      <c r="A38" s="66" t="s">
        <v>73</v>
      </c>
      <c r="B38" s="74" t="s">
        <v>26</v>
      </c>
      <c r="C38" s="71" t="s">
        <v>10</v>
      </c>
      <c r="D38" s="82"/>
      <c r="E38" s="65"/>
      <c r="F38" s="65"/>
    </row>
    <row r="39" spans="1:6" hidden="1" x14ac:dyDescent="0.25">
      <c r="A39" s="66" t="s">
        <v>168</v>
      </c>
      <c r="B39" s="74" t="s">
        <v>136</v>
      </c>
      <c r="C39" s="71" t="s">
        <v>10</v>
      </c>
      <c r="D39" s="82"/>
      <c r="E39" s="65"/>
      <c r="F39" s="65"/>
    </row>
    <row r="40" spans="1:6" hidden="1" x14ac:dyDescent="0.25">
      <c r="A40" s="66" t="s">
        <v>169</v>
      </c>
      <c r="B40" s="74" t="s">
        <v>28</v>
      </c>
      <c r="C40" s="71" t="s">
        <v>10</v>
      </c>
      <c r="D40" s="82"/>
      <c r="E40" s="65"/>
      <c r="F40" s="65"/>
    </row>
    <row r="41" spans="1:6" ht="29.25" hidden="1" customHeight="1" x14ac:dyDescent="0.25">
      <c r="A41" s="66" t="s">
        <v>170</v>
      </c>
      <c r="B41" s="74" t="s">
        <v>167</v>
      </c>
      <c r="C41" s="71" t="s">
        <v>10</v>
      </c>
      <c r="D41" s="82"/>
      <c r="E41" s="65"/>
      <c r="F41" s="65"/>
    </row>
    <row r="42" spans="1:6" hidden="1" x14ac:dyDescent="0.25">
      <c r="A42" s="66" t="s">
        <v>171</v>
      </c>
      <c r="B42" s="74" t="s">
        <v>30</v>
      </c>
      <c r="C42" s="71" t="s">
        <v>10</v>
      </c>
      <c r="D42" s="82"/>
      <c r="E42" s="65"/>
      <c r="F42" s="65"/>
    </row>
    <row r="43" spans="1:6" hidden="1" x14ac:dyDescent="0.25">
      <c r="A43" s="66" t="s">
        <v>173</v>
      </c>
      <c r="B43" s="74" t="s">
        <v>26</v>
      </c>
      <c r="C43" s="71" t="s">
        <v>10</v>
      </c>
      <c r="D43" s="82"/>
      <c r="E43" s="65"/>
      <c r="F43" s="65"/>
    </row>
    <row r="44" spans="1:6" hidden="1" x14ac:dyDescent="0.25">
      <c r="A44" s="66" t="s">
        <v>174</v>
      </c>
      <c r="B44" s="74" t="s">
        <v>136</v>
      </c>
      <c r="C44" s="71" t="s">
        <v>10</v>
      </c>
      <c r="D44" s="82"/>
      <c r="E44" s="65"/>
      <c r="F44" s="65"/>
    </row>
    <row r="45" spans="1:6" hidden="1" x14ac:dyDescent="0.25">
      <c r="A45" s="66" t="s">
        <v>175</v>
      </c>
      <c r="B45" s="74" t="s">
        <v>136</v>
      </c>
      <c r="C45" s="71" t="s">
        <v>10</v>
      </c>
      <c r="D45" s="82"/>
      <c r="E45" s="65"/>
      <c r="F45" s="65"/>
    </row>
    <row r="46" spans="1:6" x14ac:dyDescent="0.25">
      <c r="A46" s="66" t="s">
        <v>69</v>
      </c>
      <c r="B46" s="74" t="s">
        <v>31</v>
      </c>
      <c r="C46" s="71" t="s">
        <v>10</v>
      </c>
      <c r="D46" s="75">
        <v>0</v>
      </c>
      <c r="E46" s="65">
        <f>31-17</f>
        <v>14</v>
      </c>
      <c r="F46" s="54">
        <v>0</v>
      </c>
    </row>
    <row r="47" spans="1:6" ht="26.25" hidden="1" customHeight="1" x14ac:dyDescent="0.25">
      <c r="A47" s="66" t="s">
        <v>177</v>
      </c>
      <c r="B47" s="74" t="s">
        <v>276</v>
      </c>
      <c r="C47" s="71" t="s">
        <v>10</v>
      </c>
      <c r="D47" s="82"/>
      <c r="E47" s="65"/>
      <c r="F47" s="65"/>
    </row>
    <row r="48" spans="1:6" hidden="1" x14ac:dyDescent="0.25">
      <c r="A48" s="66" t="s">
        <v>277</v>
      </c>
      <c r="B48" s="74" t="s">
        <v>172</v>
      </c>
      <c r="C48" s="71" t="s">
        <v>10</v>
      </c>
      <c r="D48" s="78"/>
      <c r="E48" s="65"/>
      <c r="F48" s="65"/>
    </row>
    <row r="49" spans="1:6" ht="26.25" hidden="1" customHeight="1" x14ac:dyDescent="0.25">
      <c r="A49" s="66" t="s">
        <v>278</v>
      </c>
      <c r="B49" s="74" t="s">
        <v>279</v>
      </c>
      <c r="C49" s="71" t="s">
        <v>10</v>
      </c>
      <c r="D49" s="82"/>
      <c r="E49" s="65"/>
      <c r="F49" s="65"/>
    </row>
    <row r="50" spans="1:6" hidden="1" x14ac:dyDescent="0.25">
      <c r="A50" s="66" t="s">
        <v>280</v>
      </c>
      <c r="B50" s="74" t="s">
        <v>172</v>
      </c>
      <c r="C50" s="71" t="s">
        <v>10</v>
      </c>
      <c r="D50" s="82"/>
      <c r="E50" s="65"/>
      <c r="F50" s="65"/>
    </row>
    <row r="51" spans="1:6" ht="43.5" hidden="1" customHeight="1" x14ac:dyDescent="0.25">
      <c r="A51" s="66" t="s">
        <v>281</v>
      </c>
      <c r="B51" s="74" t="s">
        <v>282</v>
      </c>
      <c r="C51" s="71" t="s">
        <v>10</v>
      </c>
      <c r="D51" s="75">
        <v>0</v>
      </c>
      <c r="E51" s="65">
        <v>0</v>
      </c>
      <c r="F51" s="54">
        <v>0</v>
      </c>
    </row>
    <row r="52" spans="1:6" hidden="1" x14ac:dyDescent="0.25">
      <c r="A52" s="66" t="s">
        <v>283</v>
      </c>
      <c r="B52" s="74" t="s">
        <v>146</v>
      </c>
      <c r="C52" s="71" t="s">
        <v>10</v>
      </c>
      <c r="D52" s="82"/>
      <c r="E52" s="65"/>
      <c r="F52" s="65"/>
    </row>
    <row r="53" spans="1:6" hidden="1" x14ac:dyDescent="0.25">
      <c r="A53" s="66" t="s">
        <v>284</v>
      </c>
      <c r="B53" s="74" t="s">
        <v>34</v>
      </c>
      <c r="C53" s="71" t="s">
        <v>10</v>
      </c>
      <c r="D53" s="82"/>
      <c r="E53" s="65"/>
      <c r="F53" s="65"/>
    </row>
    <row r="54" spans="1:6" hidden="1" x14ac:dyDescent="0.25">
      <c r="A54" s="66" t="s">
        <v>285</v>
      </c>
      <c r="B54" s="74" t="s">
        <v>176</v>
      </c>
      <c r="C54" s="71" t="s">
        <v>10</v>
      </c>
      <c r="D54" s="82"/>
      <c r="E54" s="65"/>
      <c r="F54" s="65"/>
    </row>
    <row r="55" spans="1:6" hidden="1" x14ac:dyDescent="0.25">
      <c r="A55" s="66" t="s">
        <v>286</v>
      </c>
      <c r="B55" s="74" t="s">
        <v>146</v>
      </c>
      <c r="C55" s="71" t="s">
        <v>10</v>
      </c>
      <c r="D55" s="82"/>
      <c r="E55" s="65"/>
      <c r="F55" s="65"/>
    </row>
    <row r="56" spans="1:6" hidden="1" x14ac:dyDescent="0.25">
      <c r="A56" s="143" t="s">
        <v>287</v>
      </c>
      <c r="B56" s="74" t="s">
        <v>34</v>
      </c>
      <c r="C56" s="71" t="s">
        <v>10</v>
      </c>
      <c r="D56" s="82"/>
      <c r="E56" s="65"/>
      <c r="F56" s="65"/>
    </row>
    <row r="57" spans="1:6" hidden="1" x14ac:dyDescent="0.25">
      <c r="A57" s="143" t="s">
        <v>288</v>
      </c>
      <c r="B57" s="74" t="s">
        <v>176</v>
      </c>
      <c r="C57" s="71" t="s">
        <v>10</v>
      </c>
      <c r="D57" s="82"/>
      <c r="E57" s="65"/>
      <c r="F57" s="65"/>
    </row>
    <row r="58" spans="1:6" hidden="1" x14ac:dyDescent="0.25">
      <c r="A58" s="143" t="s">
        <v>289</v>
      </c>
      <c r="B58" s="74" t="s">
        <v>178</v>
      </c>
      <c r="C58" s="68" t="s">
        <v>10</v>
      </c>
      <c r="D58" s="75">
        <f>SUM(D59:D62)</f>
        <v>0</v>
      </c>
      <c r="E58" s="65">
        <v>0</v>
      </c>
      <c r="F58" s="54">
        <v>0</v>
      </c>
    </row>
    <row r="59" spans="1:6" s="145" customFormat="1" ht="13.5" hidden="1" customHeight="1" x14ac:dyDescent="0.25">
      <c r="A59" s="66"/>
      <c r="B59" s="74" t="s">
        <v>179</v>
      </c>
      <c r="C59" s="71" t="s">
        <v>10</v>
      </c>
      <c r="D59" s="82"/>
      <c r="E59" s="144"/>
      <c r="F59" s="144"/>
    </row>
    <row r="60" spans="1:6" ht="13.5" hidden="1" customHeight="1" x14ac:dyDescent="0.25">
      <c r="A60" s="66"/>
      <c r="B60" s="146" t="s">
        <v>290</v>
      </c>
      <c r="C60" s="71" t="s">
        <v>10</v>
      </c>
      <c r="D60" s="82"/>
      <c r="E60" s="140"/>
      <c r="F60" s="140"/>
    </row>
    <row r="61" spans="1:6" ht="13.5" hidden="1" customHeight="1" x14ac:dyDescent="0.25">
      <c r="A61" s="66"/>
      <c r="B61" s="146" t="s">
        <v>291</v>
      </c>
      <c r="C61" s="71" t="s">
        <v>10</v>
      </c>
      <c r="D61" s="82"/>
      <c r="E61" s="140"/>
      <c r="F61" s="140"/>
    </row>
    <row r="62" spans="1:6" ht="13.5" hidden="1" customHeight="1" x14ac:dyDescent="0.25">
      <c r="A62" s="66"/>
      <c r="B62" s="146" t="s">
        <v>292</v>
      </c>
      <c r="C62" s="71" t="s">
        <v>10</v>
      </c>
      <c r="D62" s="82"/>
      <c r="E62" s="140"/>
      <c r="F62" s="140"/>
    </row>
    <row r="63" spans="1:6" x14ac:dyDescent="0.25">
      <c r="A63" s="68" t="s">
        <v>23</v>
      </c>
      <c r="B63" s="69" t="s">
        <v>24</v>
      </c>
      <c r="C63" s="71" t="s">
        <v>10</v>
      </c>
      <c r="D63" s="70">
        <f>D64+D87+D96</f>
        <v>0</v>
      </c>
      <c r="E63" s="70">
        <f>E64+E87+E96</f>
        <v>0</v>
      </c>
      <c r="F63" s="108">
        <v>0</v>
      </c>
    </row>
    <row r="64" spans="1:6" s="139" customFormat="1" ht="15.75" customHeight="1" x14ac:dyDescent="0.25">
      <c r="A64" s="80" t="s">
        <v>215</v>
      </c>
      <c r="B64" s="48" t="s">
        <v>293</v>
      </c>
      <c r="C64" s="80" t="s">
        <v>10</v>
      </c>
      <c r="D64" s="82">
        <f>SUM(D67:D79)</f>
        <v>0</v>
      </c>
      <c r="E64" s="82">
        <v>0</v>
      </c>
      <c r="F64" s="115">
        <v>0</v>
      </c>
    </row>
    <row r="65" spans="1:6" ht="15" hidden="1" customHeight="1" x14ac:dyDescent="0.25">
      <c r="A65" s="66" t="s">
        <v>294</v>
      </c>
      <c r="B65" s="147" t="s">
        <v>17</v>
      </c>
      <c r="C65" s="80" t="s">
        <v>10</v>
      </c>
      <c r="D65" s="75"/>
      <c r="E65" s="75"/>
      <c r="F65" s="65"/>
    </row>
    <row r="66" spans="1:6" ht="15" hidden="1" customHeight="1" x14ac:dyDescent="0.25">
      <c r="A66" s="66"/>
      <c r="B66" s="147" t="s">
        <v>11</v>
      </c>
      <c r="C66" s="80" t="s">
        <v>10</v>
      </c>
      <c r="D66" s="66"/>
      <c r="E66" s="66"/>
      <c r="F66" s="65"/>
    </row>
    <row r="67" spans="1:6" ht="14.25" hidden="1" customHeight="1" x14ac:dyDescent="0.25">
      <c r="A67" s="66" t="s">
        <v>295</v>
      </c>
      <c r="B67" s="148" t="s">
        <v>134</v>
      </c>
      <c r="C67" s="80" t="s">
        <v>10</v>
      </c>
      <c r="D67" s="75"/>
      <c r="E67" s="75"/>
      <c r="F67" s="65"/>
    </row>
    <row r="68" spans="1:6" ht="15" hidden="1" customHeight="1" x14ac:dyDescent="0.25">
      <c r="A68" s="66" t="s">
        <v>296</v>
      </c>
      <c r="B68" s="74" t="s">
        <v>62</v>
      </c>
      <c r="C68" s="80" t="s">
        <v>10</v>
      </c>
      <c r="D68" s="75"/>
      <c r="E68" s="75"/>
      <c r="F68" s="65"/>
    </row>
    <row r="69" spans="1:6" ht="15" hidden="1" customHeight="1" x14ac:dyDescent="0.25">
      <c r="A69" s="84" t="s">
        <v>153</v>
      </c>
      <c r="B69" s="148" t="s">
        <v>29</v>
      </c>
      <c r="C69" s="80" t="s">
        <v>10</v>
      </c>
      <c r="D69" s="75"/>
      <c r="E69" s="75"/>
      <c r="F69" s="65"/>
    </row>
    <row r="70" spans="1:6" ht="15" hidden="1" customHeight="1" x14ac:dyDescent="0.25">
      <c r="A70" s="84" t="s">
        <v>154</v>
      </c>
      <c r="B70" s="148" t="s">
        <v>25</v>
      </c>
      <c r="C70" s="80" t="s">
        <v>10</v>
      </c>
      <c r="D70" s="75"/>
      <c r="E70" s="75"/>
      <c r="F70" s="65"/>
    </row>
    <row r="71" spans="1:6" ht="46.5" hidden="1" customHeight="1" x14ac:dyDescent="0.25">
      <c r="A71" s="84" t="s">
        <v>156</v>
      </c>
      <c r="B71" s="148" t="s">
        <v>180</v>
      </c>
      <c r="C71" s="80" t="s">
        <v>10</v>
      </c>
      <c r="D71" s="75"/>
      <c r="E71" s="75"/>
      <c r="F71" s="65"/>
    </row>
    <row r="72" spans="1:6" ht="15" hidden="1" customHeight="1" x14ac:dyDescent="0.25">
      <c r="A72" s="66" t="s">
        <v>157</v>
      </c>
      <c r="B72" s="148" t="s">
        <v>27</v>
      </c>
      <c r="C72" s="80" t="s">
        <v>10</v>
      </c>
      <c r="D72" s="75"/>
      <c r="E72" s="75"/>
      <c r="F72" s="65"/>
    </row>
    <row r="73" spans="1:6" ht="15" hidden="1" customHeight="1" x14ac:dyDescent="0.25">
      <c r="A73" s="66" t="s">
        <v>181</v>
      </c>
      <c r="B73" s="148" t="s">
        <v>35</v>
      </c>
      <c r="C73" s="80" t="s">
        <v>10</v>
      </c>
      <c r="D73" s="75"/>
      <c r="E73" s="75"/>
      <c r="F73" s="65"/>
    </row>
    <row r="74" spans="1:6" ht="15" hidden="1" customHeight="1" x14ac:dyDescent="0.25">
      <c r="A74" s="66" t="s">
        <v>159</v>
      </c>
      <c r="B74" s="148" t="s">
        <v>135</v>
      </c>
      <c r="C74" s="80" t="s">
        <v>10</v>
      </c>
      <c r="D74" s="75"/>
      <c r="E74" s="75"/>
      <c r="F74" s="65"/>
    </row>
    <row r="75" spans="1:6" ht="30" hidden="1" customHeight="1" x14ac:dyDescent="0.25">
      <c r="A75" s="66" t="s">
        <v>182</v>
      </c>
      <c r="B75" s="148" t="s">
        <v>183</v>
      </c>
      <c r="C75" s="80" t="s">
        <v>10</v>
      </c>
      <c r="D75" s="75"/>
      <c r="E75" s="75"/>
      <c r="F75" s="65"/>
    </row>
    <row r="76" spans="1:6" ht="15" hidden="1" customHeight="1" x14ac:dyDescent="0.25">
      <c r="A76" s="66" t="s">
        <v>184</v>
      </c>
      <c r="B76" s="148" t="s">
        <v>31</v>
      </c>
      <c r="C76" s="80" t="s">
        <v>10</v>
      </c>
      <c r="D76" s="75"/>
      <c r="E76" s="75"/>
      <c r="F76" s="65"/>
    </row>
    <row r="77" spans="1:6" ht="27" hidden="1" customHeight="1" x14ac:dyDescent="0.25">
      <c r="A77" s="66" t="s">
        <v>185</v>
      </c>
      <c r="B77" s="148" t="s">
        <v>186</v>
      </c>
      <c r="C77" s="80" t="s">
        <v>10</v>
      </c>
      <c r="D77" s="75"/>
      <c r="E77" s="75"/>
      <c r="F77" s="65"/>
    </row>
    <row r="78" spans="1:6" ht="15" hidden="1" customHeight="1" x14ac:dyDescent="0.25">
      <c r="A78" s="66" t="s">
        <v>187</v>
      </c>
      <c r="B78" s="148" t="s">
        <v>188</v>
      </c>
      <c r="C78" s="80" t="s">
        <v>10</v>
      </c>
      <c r="D78" s="75"/>
      <c r="E78" s="75"/>
      <c r="F78" s="65"/>
    </row>
    <row r="79" spans="1:6" ht="15" hidden="1" customHeight="1" x14ac:dyDescent="0.25">
      <c r="A79" s="66" t="s">
        <v>189</v>
      </c>
      <c r="B79" s="148" t="s">
        <v>297</v>
      </c>
      <c r="C79" s="80" t="s">
        <v>10</v>
      </c>
      <c r="D79" s="75">
        <f>SUM(D80:D86)</f>
        <v>0</v>
      </c>
      <c r="E79" s="75">
        <v>0</v>
      </c>
      <c r="F79" s="65"/>
    </row>
    <row r="80" spans="1:6" ht="16.5" hidden="1" customHeight="1" x14ac:dyDescent="0.25">
      <c r="A80" s="66" t="s">
        <v>298</v>
      </c>
      <c r="B80" s="149" t="s">
        <v>190</v>
      </c>
      <c r="C80" s="80" t="s">
        <v>10</v>
      </c>
      <c r="D80" s="75"/>
      <c r="E80" s="75"/>
      <c r="F80" s="65"/>
    </row>
    <row r="81" spans="1:6" ht="16.5" hidden="1" customHeight="1" x14ac:dyDescent="0.25">
      <c r="A81" s="66" t="s">
        <v>299</v>
      </c>
      <c r="B81" s="149" t="s">
        <v>191</v>
      </c>
      <c r="C81" s="80" t="s">
        <v>10</v>
      </c>
      <c r="D81" s="75"/>
      <c r="E81" s="75"/>
      <c r="F81" s="65"/>
    </row>
    <row r="82" spans="1:6" ht="16.5" hidden="1" customHeight="1" x14ac:dyDescent="0.25">
      <c r="A82" s="66" t="s">
        <v>300</v>
      </c>
      <c r="B82" s="149" t="s">
        <v>192</v>
      </c>
      <c r="C82" s="80" t="s">
        <v>10</v>
      </c>
      <c r="D82" s="75"/>
      <c r="E82" s="75"/>
      <c r="F82" s="65"/>
    </row>
    <row r="83" spans="1:6" ht="16.5" hidden="1" customHeight="1" x14ac:dyDescent="0.25">
      <c r="A83" s="66" t="s">
        <v>301</v>
      </c>
      <c r="B83" s="149" t="s">
        <v>193</v>
      </c>
      <c r="C83" s="80" t="s">
        <v>10</v>
      </c>
      <c r="D83" s="75"/>
      <c r="E83" s="75"/>
      <c r="F83" s="65"/>
    </row>
    <row r="84" spans="1:6" ht="16.5" hidden="1" customHeight="1" x14ac:dyDescent="0.25">
      <c r="A84" s="66" t="s">
        <v>302</v>
      </c>
      <c r="B84" s="149" t="s">
        <v>194</v>
      </c>
      <c r="C84" s="80" t="s">
        <v>10</v>
      </c>
      <c r="D84" s="75"/>
      <c r="E84" s="75"/>
      <c r="F84" s="65"/>
    </row>
    <row r="85" spans="1:6" ht="16.5" hidden="1" customHeight="1" x14ac:dyDescent="0.25">
      <c r="A85" s="66" t="s">
        <v>303</v>
      </c>
      <c r="B85" s="149" t="s">
        <v>195</v>
      </c>
      <c r="C85" s="80" t="s">
        <v>10</v>
      </c>
      <c r="D85" s="75"/>
      <c r="E85" s="75"/>
      <c r="F85" s="65"/>
    </row>
    <row r="86" spans="1:6" ht="16.5" hidden="1" customHeight="1" x14ac:dyDescent="0.25">
      <c r="A86" s="66" t="s">
        <v>304</v>
      </c>
      <c r="B86" s="149" t="s">
        <v>196</v>
      </c>
      <c r="C86" s="80" t="s">
        <v>10</v>
      </c>
      <c r="D86" s="75"/>
      <c r="E86" s="75"/>
      <c r="F86" s="65"/>
    </row>
    <row r="87" spans="1:6" s="139" customFormat="1" ht="15" customHeight="1" x14ac:dyDescent="0.25">
      <c r="A87" s="150" t="s">
        <v>239</v>
      </c>
      <c r="B87" s="48" t="s">
        <v>305</v>
      </c>
      <c r="C87" s="80" t="s">
        <v>10</v>
      </c>
      <c r="D87" s="82">
        <f>SUM(D88:D95)</f>
        <v>0</v>
      </c>
      <c r="E87" s="82">
        <v>0</v>
      </c>
      <c r="F87" s="115">
        <v>0</v>
      </c>
    </row>
    <row r="88" spans="1:6" ht="15.75" hidden="1" customHeight="1" x14ac:dyDescent="0.25">
      <c r="A88" s="151" t="s">
        <v>130</v>
      </c>
      <c r="B88" s="74" t="s">
        <v>132</v>
      </c>
      <c r="C88" s="80" t="s">
        <v>10</v>
      </c>
      <c r="D88" s="75"/>
      <c r="E88" s="75"/>
      <c r="F88" s="65"/>
    </row>
    <row r="89" spans="1:6" ht="15" hidden="1" customHeight="1" x14ac:dyDescent="0.25">
      <c r="A89" s="151" t="s">
        <v>131</v>
      </c>
      <c r="B89" s="74" t="s">
        <v>62</v>
      </c>
      <c r="C89" s="80" t="s">
        <v>10</v>
      </c>
      <c r="D89" s="75"/>
      <c r="E89" s="75"/>
      <c r="F89" s="65"/>
    </row>
    <row r="90" spans="1:6" ht="15" hidden="1" customHeight="1" x14ac:dyDescent="0.25">
      <c r="A90" s="151" t="s">
        <v>197</v>
      </c>
      <c r="B90" s="74" t="s">
        <v>137</v>
      </c>
      <c r="C90" s="80" t="s">
        <v>10</v>
      </c>
      <c r="D90" s="75"/>
      <c r="E90" s="75"/>
      <c r="F90" s="65"/>
    </row>
    <row r="91" spans="1:6" ht="31.5" hidden="1" customHeight="1" x14ac:dyDescent="0.25">
      <c r="A91" s="151" t="s">
        <v>198</v>
      </c>
      <c r="B91" s="74" t="s">
        <v>306</v>
      </c>
      <c r="C91" s="80" t="s">
        <v>10</v>
      </c>
      <c r="D91" s="75"/>
      <c r="E91" s="75"/>
      <c r="F91" s="65"/>
    </row>
    <row r="92" spans="1:6" ht="15" hidden="1" customHeight="1" x14ac:dyDescent="0.25">
      <c r="A92" s="151" t="s">
        <v>199</v>
      </c>
      <c r="B92" s="74" t="s">
        <v>307</v>
      </c>
      <c r="C92" s="80" t="s">
        <v>10</v>
      </c>
      <c r="D92" s="75"/>
      <c r="E92" s="75"/>
      <c r="F92" s="65"/>
    </row>
    <row r="93" spans="1:6" ht="36.75" hidden="1" customHeight="1" x14ac:dyDescent="0.25">
      <c r="A93" s="151" t="s">
        <v>200</v>
      </c>
      <c r="B93" s="74" t="s">
        <v>308</v>
      </c>
      <c r="C93" s="80" t="s">
        <v>10</v>
      </c>
      <c r="D93" s="75"/>
      <c r="E93" s="75"/>
      <c r="F93" s="65"/>
    </row>
    <row r="94" spans="1:6" ht="16.5" hidden="1" customHeight="1" x14ac:dyDescent="0.25">
      <c r="A94" s="151" t="s">
        <v>201</v>
      </c>
      <c r="B94" s="74" t="s">
        <v>138</v>
      </c>
      <c r="C94" s="80" t="s">
        <v>10</v>
      </c>
      <c r="D94" s="75"/>
      <c r="E94" s="75"/>
      <c r="F94" s="65"/>
    </row>
    <row r="95" spans="1:6" ht="15" hidden="1" customHeight="1" x14ac:dyDescent="0.25">
      <c r="A95" s="151" t="s">
        <v>202</v>
      </c>
      <c r="B95" s="74" t="s">
        <v>158</v>
      </c>
      <c r="C95" s="80" t="s">
        <v>10</v>
      </c>
      <c r="D95" s="75"/>
      <c r="E95" s="75"/>
      <c r="F95" s="65"/>
    </row>
    <row r="96" spans="1:6" s="139" customFormat="1" ht="16.5" customHeight="1" x14ac:dyDescent="0.25">
      <c r="A96" s="150" t="s">
        <v>309</v>
      </c>
      <c r="B96" s="48" t="s">
        <v>38</v>
      </c>
      <c r="C96" s="80" t="s">
        <v>10</v>
      </c>
      <c r="D96" s="82">
        <v>0</v>
      </c>
      <c r="E96" s="82">
        <v>0</v>
      </c>
      <c r="F96" s="115">
        <v>0</v>
      </c>
    </row>
    <row r="97" spans="1:10" ht="16.5" customHeight="1" x14ac:dyDescent="0.25">
      <c r="A97" s="68" t="s">
        <v>39</v>
      </c>
      <c r="B97" s="69" t="s">
        <v>40</v>
      </c>
      <c r="C97" s="71" t="s">
        <v>10</v>
      </c>
      <c r="D97" s="70">
        <f>D63+D12</f>
        <v>229491</v>
      </c>
      <c r="E97" s="70">
        <f>E12+E63</f>
        <v>110498</v>
      </c>
      <c r="F97" s="108">
        <f t="shared" ref="F97:F103" si="1">E97/D97-1</f>
        <v>-0.52</v>
      </c>
    </row>
    <row r="98" spans="1:10" ht="16.5" customHeight="1" x14ac:dyDescent="0.25">
      <c r="A98" s="68" t="s">
        <v>41</v>
      </c>
      <c r="B98" s="69" t="s">
        <v>310</v>
      </c>
      <c r="C98" s="68" t="s">
        <v>10</v>
      </c>
      <c r="D98" s="70">
        <f>D99-D97</f>
        <v>0</v>
      </c>
      <c r="E98" s="137">
        <f>E101-E97</f>
        <v>12506</v>
      </c>
      <c r="F98" s="108">
        <v>0</v>
      </c>
    </row>
    <row r="99" spans="1:10" x14ac:dyDescent="0.25">
      <c r="A99" s="68" t="s">
        <v>42</v>
      </c>
      <c r="B99" s="69" t="s">
        <v>43</v>
      </c>
      <c r="C99" s="68" t="s">
        <v>10</v>
      </c>
      <c r="D99" s="70">
        <f>D97</f>
        <v>229491</v>
      </c>
      <c r="E99" s="137">
        <f>E101</f>
        <v>123004</v>
      </c>
      <c r="F99" s="108">
        <f t="shared" si="1"/>
        <v>-0.46</v>
      </c>
    </row>
    <row r="100" spans="1:10" x14ac:dyDescent="0.25">
      <c r="A100" s="464" t="s">
        <v>44</v>
      </c>
      <c r="B100" s="466" t="s">
        <v>311</v>
      </c>
      <c r="C100" s="68" t="s">
        <v>45</v>
      </c>
      <c r="D100" s="152">
        <v>188882</v>
      </c>
      <c r="E100" s="152">
        <f>'доход 2019'!BE14</f>
        <v>101238</v>
      </c>
      <c r="F100" s="108">
        <f t="shared" si="1"/>
        <v>-0.46</v>
      </c>
    </row>
    <row r="101" spans="1:10" s="145" customFormat="1" ht="28.5" x14ac:dyDescent="0.25">
      <c r="A101" s="465"/>
      <c r="B101" s="467"/>
      <c r="C101" s="68" t="s">
        <v>8</v>
      </c>
      <c r="D101" s="152">
        <f>D99</f>
        <v>229491</v>
      </c>
      <c r="E101" s="152">
        <f>'доход 2019'!BG14/1000</f>
        <v>123004</v>
      </c>
      <c r="F101" s="108">
        <f t="shared" si="1"/>
        <v>-0.46</v>
      </c>
    </row>
    <row r="102" spans="1:10" s="145" customFormat="1" ht="29.25" customHeight="1" x14ac:dyDescent="0.25">
      <c r="A102" s="80" t="s">
        <v>50</v>
      </c>
      <c r="B102" s="153" t="s">
        <v>128</v>
      </c>
      <c r="C102" s="80" t="s">
        <v>312</v>
      </c>
      <c r="D102" s="154">
        <v>0</v>
      </c>
      <c r="E102" s="144">
        <v>0</v>
      </c>
      <c r="F102" s="115">
        <v>0</v>
      </c>
      <c r="G102" s="176"/>
    </row>
    <row r="103" spans="1:10" ht="26.25" customHeight="1" x14ac:dyDescent="0.25">
      <c r="A103" s="68" t="s">
        <v>92</v>
      </c>
      <c r="B103" s="69" t="s">
        <v>212</v>
      </c>
      <c r="C103" s="68" t="s">
        <v>313</v>
      </c>
      <c r="D103" s="99">
        <f>D101/D100*1000</f>
        <v>1215</v>
      </c>
      <c r="E103" s="99">
        <f>E101/E100*1000</f>
        <v>1215</v>
      </c>
      <c r="F103" s="155">
        <f t="shared" si="1"/>
        <v>0</v>
      </c>
      <c r="G103" s="156"/>
      <c r="H103" s="157"/>
      <c r="J103" s="158"/>
    </row>
    <row r="104" spans="1:10" ht="16.5" hidden="1" customHeight="1" x14ac:dyDescent="0.25">
      <c r="A104" s="159"/>
      <c r="B104" s="160"/>
      <c r="C104" s="159"/>
      <c r="D104" s="161"/>
      <c r="E104" s="136">
        <v>255292</v>
      </c>
      <c r="F104" s="162"/>
    </row>
    <row r="105" spans="1:10" ht="16.5" hidden="1" customHeight="1" x14ac:dyDescent="0.25">
      <c r="A105" s="159"/>
      <c r="B105" s="160"/>
      <c r="C105" s="159"/>
      <c r="D105" s="161"/>
      <c r="E105" s="136">
        <f>E104-E97</f>
        <v>144794</v>
      </c>
      <c r="F105" s="162"/>
    </row>
    <row r="106" spans="1:10" ht="16.5" customHeight="1" x14ac:dyDescent="0.25">
      <c r="A106" s="159"/>
      <c r="B106" s="160"/>
      <c r="C106" s="159"/>
      <c r="D106" s="161"/>
      <c r="F106" s="162"/>
    </row>
    <row r="108" spans="1:10" ht="16.5" customHeight="1" x14ac:dyDescent="0.25"/>
    <row r="109" spans="1:10" ht="18" customHeight="1" x14ac:dyDescent="0.25"/>
    <row r="110" spans="1:10" ht="16.5" customHeight="1" x14ac:dyDescent="0.25"/>
    <row r="111" spans="1:10" ht="17.25" customHeight="1" x14ac:dyDescent="0.25"/>
    <row r="112" spans="1:10" ht="17.25" customHeight="1" x14ac:dyDescent="0.25"/>
    <row r="113" spans="2:18" s="133" customFormat="1" ht="17.25" customHeight="1" x14ac:dyDescent="0.25">
      <c r="B113" s="134"/>
      <c r="C113" s="134"/>
      <c r="D113" s="135"/>
      <c r="E113" s="136"/>
      <c r="F113" s="136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2:18" s="133" customFormat="1" ht="17.25" customHeight="1" x14ac:dyDescent="0.25">
      <c r="B114" s="134"/>
      <c r="C114" s="134"/>
      <c r="D114" s="135"/>
      <c r="E114" s="136"/>
      <c r="F114" s="136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2:18" s="133" customFormat="1" ht="15.75" customHeight="1" x14ac:dyDescent="0.25">
      <c r="B115" s="134"/>
      <c r="C115" s="134"/>
      <c r="D115" s="135"/>
      <c r="E115" s="136"/>
      <c r="F115" s="136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2:18" s="133" customFormat="1" ht="18.75" customHeight="1" x14ac:dyDescent="0.25">
      <c r="B116" s="134"/>
      <c r="C116" s="134"/>
      <c r="D116" s="135"/>
      <c r="E116" s="136"/>
      <c r="F116" s="136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2:18" s="133" customFormat="1" ht="18.75" customHeight="1" x14ac:dyDescent="0.25">
      <c r="B117" s="134"/>
      <c r="C117" s="134"/>
      <c r="D117" s="135"/>
      <c r="E117" s="136"/>
      <c r="F117" s="136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2:18" s="133" customFormat="1" ht="18.75" customHeight="1" x14ac:dyDescent="0.25">
      <c r="B118" s="134"/>
      <c r="C118" s="134"/>
      <c r="D118" s="135"/>
      <c r="E118" s="136"/>
      <c r="F118" s="136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2:18" s="133" customFormat="1" ht="18.75" customHeight="1" x14ac:dyDescent="0.25">
      <c r="B119" s="134"/>
      <c r="C119" s="134"/>
      <c r="D119" s="135"/>
      <c r="E119" s="136"/>
      <c r="F119" s="136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2:18" s="133" customFormat="1" ht="18.75" customHeight="1" x14ac:dyDescent="0.25">
      <c r="B120" s="134"/>
      <c r="C120" s="134"/>
      <c r="D120" s="135"/>
      <c r="E120" s="136"/>
      <c r="F120" s="136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2:18" s="133" customFormat="1" ht="18.75" customHeight="1" x14ac:dyDescent="0.25">
      <c r="B121" s="134"/>
      <c r="C121" s="134"/>
      <c r="D121" s="135"/>
      <c r="E121" s="136"/>
      <c r="F121" s="136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2:18" s="133" customFormat="1" ht="18.75" customHeight="1" x14ac:dyDescent="0.25">
      <c r="B122" s="134"/>
      <c r="C122" s="134"/>
      <c r="D122" s="135"/>
      <c r="E122" s="136"/>
      <c r="F122" s="136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2:18" s="133" customFormat="1" ht="18.75" customHeight="1" x14ac:dyDescent="0.25">
      <c r="B123" s="134"/>
      <c r="C123" s="134"/>
      <c r="D123" s="135"/>
      <c r="E123" s="136"/>
      <c r="F123" s="136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2:18" s="133" customFormat="1" ht="17.25" customHeight="1" x14ac:dyDescent="0.25">
      <c r="B124" s="134"/>
      <c r="C124" s="134"/>
      <c r="D124" s="135"/>
      <c r="E124" s="136"/>
      <c r="F124" s="136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2:18" s="133" customFormat="1" ht="17.25" customHeight="1" x14ac:dyDescent="0.25">
      <c r="B125" s="134"/>
      <c r="C125" s="134"/>
      <c r="D125" s="135"/>
      <c r="E125" s="136"/>
      <c r="F125" s="136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2:18" s="133" customFormat="1" ht="17.25" customHeight="1" x14ac:dyDescent="0.25">
      <c r="B126" s="134"/>
      <c r="C126" s="134"/>
      <c r="D126" s="135"/>
      <c r="E126" s="136"/>
      <c r="F126" s="136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2:18" s="133" customFormat="1" ht="17.25" customHeight="1" x14ac:dyDescent="0.25">
      <c r="B127" s="134"/>
      <c r="C127" s="134"/>
      <c r="D127" s="135"/>
      <c r="E127" s="136"/>
      <c r="F127" s="136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2:18" s="133" customFormat="1" ht="17.25" customHeight="1" x14ac:dyDescent="0.25">
      <c r="B128" s="134"/>
      <c r="C128" s="134"/>
      <c r="D128" s="135"/>
      <c r="E128" s="136"/>
      <c r="F128" s="136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2:18" s="133" customFormat="1" ht="17.25" customHeight="1" x14ac:dyDescent="0.25">
      <c r="B129" s="134"/>
      <c r="C129" s="134"/>
      <c r="D129" s="135"/>
      <c r="E129" s="136"/>
      <c r="F129" s="136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2:18" s="133" customFormat="1" ht="17.25" customHeight="1" x14ac:dyDescent="0.25">
      <c r="B130" s="134"/>
      <c r="C130" s="134"/>
      <c r="D130" s="135"/>
      <c r="E130" s="136"/>
      <c r="F130" s="136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2:18" s="133" customFormat="1" ht="17.25" customHeight="1" x14ac:dyDescent="0.25">
      <c r="B131" s="134"/>
      <c r="C131" s="134"/>
      <c r="D131" s="135"/>
      <c r="E131" s="136"/>
      <c r="F131" s="136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</sheetData>
  <mergeCells count="7">
    <mergeCell ref="A100:A101"/>
    <mergeCell ref="B100:B101"/>
    <mergeCell ref="E1:F1"/>
    <mergeCell ref="E2:F2"/>
    <mergeCell ref="A7:F7"/>
    <mergeCell ref="A8:F8"/>
    <mergeCell ref="A5:D5"/>
  </mergeCells>
  <pageMargins left="0.31496062992125984" right="0.19685039370078741" top="0.15748031496062992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27"/>
  <sheetViews>
    <sheetView topLeftCell="A751" workbookViewId="0">
      <selection activeCell="D775" sqref="D775"/>
    </sheetView>
  </sheetViews>
  <sheetFormatPr defaultColWidth="9.140625" defaultRowHeight="15" x14ac:dyDescent="0.25"/>
  <cols>
    <col min="1" max="1" width="7.5703125" style="184" customWidth="1"/>
    <col min="2" max="2" width="44" style="184" customWidth="1"/>
    <col min="3" max="3" width="18.140625" style="184" customWidth="1"/>
    <col min="4" max="4" width="17.5703125" style="184" customWidth="1"/>
    <col min="5" max="5" width="14.28515625" customWidth="1"/>
    <col min="6" max="6" width="12.5703125" customWidth="1"/>
    <col min="7" max="7" width="11.7109375" customWidth="1"/>
    <col min="8" max="8" width="41.5703125" customWidth="1"/>
    <col min="9" max="9" width="15.5703125" customWidth="1"/>
    <col min="10" max="10" width="19.5703125" customWidth="1"/>
    <col min="11" max="11" width="24" customWidth="1"/>
    <col min="12" max="12" width="12.7109375" customWidth="1"/>
    <col min="257" max="257" width="7.5703125" customWidth="1"/>
    <col min="258" max="258" width="44" customWidth="1"/>
    <col min="259" max="259" width="18.140625" customWidth="1"/>
    <col min="260" max="260" width="17.5703125" customWidth="1"/>
    <col min="261" max="261" width="14.28515625" customWidth="1"/>
    <col min="262" max="262" width="12.5703125" customWidth="1"/>
    <col min="263" max="263" width="11.7109375" customWidth="1"/>
    <col min="264" max="264" width="41.5703125" customWidth="1"/>
    <col min="265" max="265" width="15.5703125" customWidth="1"/>
    <col min="266" max="266" width="19.5703125" customWidth="1"/>
    <col min="267" max="267" width="24" customWidth="1"/>
    <col min="268" max="268" width="12.7109375" customWidth="1"/>
    <col min="513" max="513" width="7.5703125" customWidth="1"/>
    <col min="514" max="514" width="44" customWidth="1"/>
    <col min="515" max="515" width="18.140625" customWidth="1"/>
    <col min="516" max="516" width="17.5703125" customWidth="1"/>
    <col min="517" max="517" width="14.28515625" customWidth="1"/>
    <col min="518" max="518" width="12.5703125" customWidth="1"/>
    <col min="519" max="519" width="11.7109375" customWidth="1"/>
    <col min="520" max="520" width="41.5703125" customWidth="1"/>
    <col min="521" max="521" width="15.5703125" customWidth="1"/>
    <col min="522" max="522" width="19.5703125" customWidth="1"/>
    <col min="523" max="523" width="24" customWidth="1"/>
    <col min="524" max="524" width="12.7109375" customWidth="1"/>
    <col min="769" max="769" width="7.5703125" customWidth="1"/>
    <col min="770" max="770" width="44" customWidth="1"/>
    <col min="771" max="771" width="18.140625" customWidth="1"/>
    <col min="772" max="772" width="17.5703125" customWidth="1"/>
    <col min="773" max="773" width="14.28515625" customWidth="1"/>
    <col min="774" max="774" width="12.5703125" customWidth="1"/>
    <col min="775" max="775" width="11.7109375" customWidth="1"/>
    <col min="776" max="776" width="41.5703125" customWidth="1"/>
    <col min="777" max="777" width="15.5703125" customWidth="1"/>
    <col min="778" max="778" width="19.5703125" customWidth="1"/>
    <col min="779" max="779" width="24" customWidth="1"/>
    <col min="780" max="780" width="12.7109375" customWidth="1"/>
    <col min="1025" max="1025" width="7.5703125" customWidth="1"/>
    <col min="1026" max="1026" width="44" customWidth="1"/>
    <col min="1027" max="1027" width="18.140625" customWidth="1"/>
    <col min="1028" max="1028" width="17.5703125" customWidth="1"/>
    <col min="1029" max="1029" width="14.28515625" customWidth="1"/>
    <col min="1030" max="1030" width="12.5703125" customWidth="1"/>
    <col min="1031" max="1031" width="11.7109375" customWidth="1"/>
    <col min="1032" max="1032" width="41.5703125" customWidth="1"/>
    <col min="1033" max="1033" width="15.5703125" customWidth="1"/>
    <col min="1034" max="1034" width="19.5703125" customWidth="1"/>
    <col min="1035" max="1035" width="24" customWidth="1"/>
    <col min="1036" max="1036" width="12.7109375" customWidth="1"/>
    <col min="1281" max="1281" width="7.5703125" customWidth="1"/>
    <col min="1282" max="1282" width="44" customWidth="1"/>
    <col min="1283" max="1283" width="18.140625" customWidth="1"/>
    <col min="1284" max="1284" width="17.5703125" customWidth="1"/>
    <col min="1285" max="1285" width="14.28515625" customWidth="1"/>
    <col min="1286" max="1286" width="12.5703125" customWidth="1"/>
    <col min="1287" max="1287" width="11.7109375" customWidth="1"/>
    <col min="1288" max="1288" width="41.5703125" customWidth="1"/>
    <col min="1289" max="1289" width="15.5703125" customWidth="1"/>
    <col min="1290" max="1290" width="19.5703125" customWidth="1"/>
    <col min="1291" max="1291" width="24" customWidth="1"/>
    <col min="1292" max="1292" width="12.7109375" customWidth="1"/>
    <col min="1537" max="1537" width="7.5703125" customWidth="1"/>
    <col min="1538" max="1538" width="44" customWidth="1"/>
    <col min="1539" max="1539" width="18.140625" customWidth="1"/>
    <col min="1540" max="1540" width="17.5703125" customWidth="1"/>
    <col min="1541" max="1541" width="14.28515625" customWidth="1"/>
    <col min="1542" max="1542" width="12.5703125" customWidth="1"/>
    <col min="1543" max="1543" width="11.7109375" customWidth="1"/>
    <col min="1544" max="1544" width="41.5703125" customWidth="1"/>
    <col min="1545" max="1545" width="15.5703125" customWidth="1"/>
    <col min="1546" max="1546" width="19.5703125" customWidth="1"/>
    <col min="1547" max="1547" width="24" customWidth="1"/>
    <col min="1548" max="1548" width="12.7109375" customWidth="1"/>
    <col min="1793" max="1793" width="7.5703125" customWidth="1"/>
    <col min="1794" max="1794" width="44" customWidth="1"/>
    <col min="1795" max="1795" width="18.140625" customWidth="1"/>
    <col min="1796" max="1796" width="17.5703125" customWidth="1"/>
    <col min="1797" max="1797" width="14.28515625" customWidth="1"/>
    <col min="1798" max="1798" width="12.5703125" customWidth="1"/>
    <col min="1799" max="1799" width="11.7109375" customWidth="1"/>
    <col min="1800" max="1800" width="41.5703125" customWidth="1"/>
    <col min="1801" max="1801" width="15.5703125" customWidth="1"/>
    <col min="1802" max="1802" width="19.5703125" customWidth="1"/>
    <col min="1803" max="1803" width="24" customWidth="1"/>
    <col min="1804" max="1804" width="12.7109375" customWidth="1"/>
    <col min="2049" max="2049" width="7.5703125" customWidth="1"/>
    <col min="2050" max="2050" width="44" customWidth="1"/>
    <col min="2051" max="2051" width="18.140625" customWidth="1"/>
    <col min="2052" max="2052" width="17.5703125" customWidth="1"/>
    <col min="2053" max="2053" width="14.28515625" customWidth="1"/>
    <col min="2054" max="2054" width="12.5703125" customWidth="1"/>
    <col min="2055" max="2055" width="11.7109375" customWidth="1"/>
    <col min="2056" max="2056" width="41.5703125" customWidth="1"/>
    <col min="2057" max="2057" width="15.5703125" customWidth="1"/>
    <col min="2058" max="2058" width="19.5703125" customWidth="1"/>
    <col min="2059" max="2059" width="24" customWidth="1"/>
    <col min="2060" max="2060" width="12.7109375" customWidth="1"/>
    <col min="2305" max="2305" width="7.5703125" customWidth="1"/>
    <col min="2306" max="2306" width="44" customWidth="1"/>
    <col min="2307" max="2307" width="18.140625" customWidth="1"/>
    <col min="2308" max="2308" width="17.5703125" customWidth="1"/>
    <col min="2309" max="2309" width="14.28515625" customWidth="1"/>
    <col min="2310" max="2310" width="12.5703125" customWidth="1"/>
    <col min="2311" max="2311" width="11.7109375" customWidth="1"/>
    <col min="2312" max="2312" width="41.5703125" customWidth="1"/>
    <col min="2313" max="2313" width="15.5703125" customWidth="1"/>
    <col min="2314" max="2314" width="19.5703125" customWidth="1"/>
    <col min="2315" max="2315" width="24" customWidth="1"/>
    <col min="2316" max="2316" width="12.7109375" customWidth="1"/>
    <col min="2561" max="2561" width="7.5703125" customWidth="1"/>
    <col min="2562" max="2562" width="44" customWidth="1"/>
    <col min="2563" max="2563" width="18.140625" customWidth="1"/>
    <col min="2564" max="2564" width="17.5703125" customWidth="1"/>
    <col min="2565" max="2565" width="14.28515625" customWidth="1"/>
    <col min="2566" max="2566" width="12.5703125" customWidth="1"/>
    <col min="2567" max="2567" width="11.7109375" customWidth="1"/>
    <col min="2568" max="2568" width="41.5703125" customWidth="1"/>
    <col min="2569" max="2569" width="15.5703125" customWidth="1"/>
    <col min="2570" max="2570" width="19.5703125" customWidth="1"/>
    <col min="2571" max="2571" width="24" customWidth="1"/>
    <col min="2572" max="2572" width="12.7109375" customWidth="1"/>
    <col min="2817" max="2817" width="7.5703125" customWidth="1"/>
    <col min="2818" max="2818" width="44" customWidth="1"/>
    <col min="2819" max="2819" width="18.140625" customWidth="1"/>
    <col min="2820" max="2820" width="17.5703125" customWidth="1"/>
    <col min="2821" max="2821" width="14.28515625" customWidth="1"/>
    <col min="2822" max="2822" width="12.5703125" customWidth="1"/>
    <col min="2823" max="2823" width="11.7109375" customWidth="1"/>
    <col min="2824" max="2824" width="41.5703125" customWidth="1"/>
    <col min="2825" max="2825" width="15.5703125" customWidth="1"/>
    <col min="2826" max="2826" width="19.5703125" customWidth="1"/>
    <col min="2827" max="2827" width="24" customWidth="1"/>
    <col min="2828" max="2828" width="12.7109375" customWidth="1"/>
    <col min="3073" max="3073" width="7.5703125" customWidth="1"/>
    <col min="3074" max="3074" width="44" customWidth="1"/>
    <col min="3075" max="3075" width="18.140625" customWidth="1"/>
    <col min="3076" max="3076" width="17.5703125" customWidth="1"/>
    <col min="3077" max="3077" width="14.28515625" customWidth="1"/>
    <col min="3078" max="3078" width="12.5703125" customWidth="1"/>
    <col min="3079" max="3079" width="11.7109375" customWidth="1"/>
    <col min="3080" max="3080" width="41.5703125" customWidth="1"/>
    <col min="3081" max="3081" width="15.5703125" customWidth="1"/>
    <col min="3082" max="3082" width="19.5703125" customWidth="1"/>
    <col min="3083" max="3083" width="24" customWidth="1"/>
    <col min="3084" max="3084" width="12.7109375" customWidth="1"/>
    <col min="3329" max="3329" width="7.5703125" customWidth="1"/>
    <col min="3330" max="3330" width="44" customWidth="1"/>
    <col min="3331" max="3331" width="18.140625" customWidth="1"/>
    <col min="3332" max="3332" width="17.5703125" customWidth="1"/>
    <col min="3333" max="3333" width="14.28515625" customWidth="1"/>
    <col min="3334" max="3334" width="12.5703125" customWidth="1"/>
    <col min="3335" max="3335" width="11.7109375" customWidth="1"/>
    <col min="3336" max="3336" width="41.5703125" customWidth="1"/>
    <col min="3337" max="3337" width="15.5703125" customWidth="1"/>
    <col min="3338" max="3338" width="19.5703125" customWidth="1"/>
    <col min="3339" max="3339" width="24" customWidth="1"/>
    <col min="3340" max="3340" width="12.7109375" customWidth="1"/>
    <col min="3585" max="3585" width="7.5703125" customWidth="1"/>
    <col min="3586" max="3586" width="44" customWidth="1"/>
    <col min="3587" max="3587" width="18.140625" customWidth="1"/>
    <col min="3588" max="3588" width="17.5703125" customWidth="1"/>
    <col min="3589" max="3589" width="14.28515625" customWidth="1"/>
    <col min="3590" max="3590" width="12.5703125" customWidth="1"/>
    <col min="3591" max="3591" width="11.7109375" customWidth="1"/>
    <col min="3592" max="3592" width="41.5703125" customWidth="1"/>
    <col min="3593" max="3593" width="15.5703125" customWidth="1"/>
    <col min="3594" max="3594" width="19.5703125" customWidth="1"/>
    <col min="3595" max="3595" width="24" customWidth="1"/>
    <col min="3596" max="3596" width="12.7109375" customWidth="1"/>
    <col min="3841" max="3841" width="7.5703125" customWidth="1"/>
    <col min="3842" max="3842" width="44" customWidth="1"/>
    <col min="3843" max="3843" width="18.140625" customWidth="1"/>
    <col min="3844" max="3844" width="17.5703125" customWidth="1"/>
    <col min="3845" max="3845" width="14.28515625" customWidth="1"/>
    <col min="3846" max="3846" width="12.5703125" customWidth="1"/>
    <col min="3847" max="3847" width="11.7109375" customWidth="1"/>
    <col min="3848" max="3848" width="41.5703125" customWidth="1"/>
    <col min="3849" max="3849" width="15.5703125" customWidth="1"/>
    <col min="3850" max="3850" width="19.5703125" customWidth="1"/>
    <col min="3851" max="3851" width="24" customWidth="1"/>
    <col min="3852" max="3852" width="12.7109375" customWidth="1"/>
    <col min="4097" max="4097" width="7.5703125" customWidth="1"/>
    <col min="4098" max="4098" width="44" customWidth="1"/>
    <col min="4099" max="4099" width="18.140625" customWidth="1"/>
    <col min="4100" max="4100" width="17.5703125" customWidth="1"/>
    <col min="4101" max="4101" width="14.28515625" customWidth="1"/>
    <col min="4102" max="4102" width="12.5703125" customWidth="1"/>
    <col min="4103" max="4103" width="11.7109375" customWidth="1"/>
    <col min="4104" max="4104" width="41.5703125" customWidth="1"/>
    <col min="4105" max="4105" width="15.5703125" customWidth="1"/>
    <col min="4106" max="4106" width="19.5703125" customWidth="1"/>
    <col min="4107" max="4107" width="24" customWidth="1"/>
    <col min="4108" max="4108" width="12.7109375" customWidth="1"/>
    <col min="4353" max="4353" width="7.5703125" customWidth="1"/>
    <col min="4354" max="4354" width="44" customWidth="1"/>
    <col min="4355" max="4355" width="18.140625" customWidth="1"/>
    <col min="4356" max="4356" width="17.5703125" customWidth="1"/>
    <col min="4357" max="4357" width="14.28515625" customWidth="1"/>
    <col min="4358" max="4358" width="12.5703125" customWidth="1"/>
    <col min="4359" max="4359" width="11.7109375" customWidth="1"/>
    <col min="4360" max="4360" width="41.5703125" customWidth="1"/>
    <col min="4361" max="4361" width="15.5703125" customWidth="1"/>
    <col min="4362" max="4362" width="19.5703125" customWidth="1"/>
    <col min="4363" max="4363" width="24" customWidth="1"/>
    <col min="4364" max="4364" width="12.7109375" customWidth="1"/>
    <col min="4609" max="4609" width="7.5703125" customWidth="1"/>
    <col min="4610" max="4610" width="44" customWidth="1"/>
    <col min="4611" max="4611" width="18.140625" customWidth="1"/>
    <col min="4612" max="4612" width="17.5703125" customWidth="1"/>
    <col min="4613" max="4613" width="14.28515625" customWidth="1"/>
    <col min="4614" max="4614" width="12.5703125" customWidth="1"/>
    <col min="4615" max="4615" width="11.7109375" customWidth="1"/>
    <col min="4616" max="4616" width="41.5703125" customWidth="1"/>
    <col min="4617" max="4617" width="15.5703125" customWidth="1"/>
    <col min="4618" max="4618" width="19.5703125" customWidth="1"/>
    <col min="4619" max="4619" width="24" customWidth="1"/>
    <col min="4620" max="4620" width="12.7109375" customWidth="1"/>
    <col min="4865" max="4865" width="7.5703125" customWidth="1"/>
    <col min="4866" max="4866" width="44" customWidth="1"/>
    <col min="4867" max="4867" width="18.140625" customWidth="1"/>
    <col min="4868" max="4868" width="17.5703125" customWidth="1"/>
    <col min="4869" max="4869" width="14.28515625" customWidth="1"/>
    <col min="4870" max="4870" width="12.5703125" customWidth="1"/>
    <col min="4871" max="4871" width="11.7109375" customWidth="1"/>
    <col min="4872" max="4872" width="41.5703125" customWidth="1"/>
    <col min="4873" max="4873" width="15.5703125" customWidth="1"/>
    <col min="4874" max="4874" width="19.5703125" customWidth="1"/>
    <col min="4875" max="4875" width="24" customWidth="1"/>
    <col min="4876" max="4876" width="12.7109375" customWidth="1"/>
    <col min="5121" max="5121" width="7.5703125" customWidth="1"/>
    <col min="5122" max="5122" width="44" customWidth="1"/>
    <col min="5123" max="5123" width="18.140625" customWidth="1"/>
    <col min="5124" max="5124" width="17.5703125" customWidth="1"/>
    <col min="5125" max="5125" width="14.28515625" customWidth="1"/>
    <col min="5126" max="5126" width="12.5703125" customWidth="1"/>
    <col min="5127" max="5127" width="11.7109375" customWidth="1"/>
    <col min="5128" max="5128" width="41.5703125" customWidth="1"/>
    <col min="5129" max="5129" width="15.5703125" customWidth="1"/>
    <col min="5130" max="5130" width="19.5703125" customWidth="1"/>
    <col min="5131" max="5131" width="24" customWidth="1"/>
    <col min="5132" max="5132" width="12.7109375" customWidth="1"/>
    <col min="5377" max="5377" width="7.5703125" customWidth="1"/>
    <col min="5378" max="5378" width="44" customWidth="1"/>
    <col min="5379" max="5379" width="18.140625" customWidth="1"/>
    <col min="5380" max="5380" width="17.5703125" customWidth="1"/>
    <col min="5381" max="5381" width="14.28515625" customWidth="1"/>
    <col min="5382" max="5382" width="12.5703125" customWidth="1"/>
    <col min="5383" max="5383" width="11.7109375" customWidth="1"/>
    <col min="5384" max="5384" width="41.5703125" customWidth="1"/>
    <col min="5385" max="5385" width="15.5703125" customWidth="1"/>
    <col min="5386" max="5386" width="19.5703125" customWidth="1"/>
    <col min="5387" max="5387" width="24" customWidth="1"/>
    <col min="5388" max="5388" width="12.7109375" customWidth="1"/>
    <col min="5633" max="5633" width="7.5703125" customWidth="1"/>
    <col min="5634" max="5634" width="44" customWidth="1"/>
    <col min="5635" max="5635" width="18.140625" customWidth="1"/>
    <col min="5636" max="5636" width="17.5703125" customWidth="1"/>
    <col min="5637" max="5637" width="14.28515625" customWidth="1"/>
    <col min="5638" max="5638" width="12.5703125" customWidth="1"/>
    <col min="5639" max="5639" width="11.7109375" customWidth="1"/>
    <col min="5640" max="5640" width="41.5703125" customWidth="1"/>
    <col min="5641" max="5641" width="15.5703125" customWidth="1"/>
    <col min="5642" max="5642" width="19.5703125" customWidth="1"/>
    <col min="5643" max="5643" width="24" customWidth="1"/>
    <col min="5644" max="5644" width="12.7109375" customWidth="1"/>
    <col min="5889" max="5889" width="7.5703125" customWidth="1"/>
    <col min="5890" max="5890" width="44" customWidth="1"/>
    <col min="5891" max="5891" width="18.140625" customWidth="1"/>
    <col min="5892" max="5892" width="17.5703125" customWidth="1"/>
    <col min="5893" max="5893" width="14.28515625" customWidth="1"/>
    <col min="5894" max="5894" width="12.5703125" customWidth="1"/>
    <col min="5895" max="5895" width="11.7109375" customWidth="1"/>
    <col min="5896" max="5896" width="41.5703125" customWidth="1"/>
    <col min="5897" max="5897" width="15.5703125" customWidth="1"/>
    <col min="5898" max="5898" width="19.5703125" customWidth="1"/>
    <col min="5899" max="5899" width="24" customWidth="1"/>
    <col min="5900" max="5900" width="12.7109375" customWidth="1"/>
    <col min="6145" max="6145" width="7.5703125" customWidth="1"/>
    <col min="6146" max="6146" width="44" customWidth="1"/>
    <col min="6147" max="6147" width="18.140625" customWidth="1"/>
    <col min="6148" max="6148" width="17.5703125" customWidth="1"/>
    <col min="6149" max="6149" width="14.28515625" customWidth="1"/>
    <col min="6150" max="6150" width="12.5703125" customWidth="1"/>
    <col min="6151" max="6151" width="11.7109375" customWidth="1"/>
    <col min="6152" max="6152" width="41.5703125" customWidth="1"/>
    <col min="6153" max="6153" width="15.5703125" customWidth="1"/>
    <col min="6154" max="6154" width="19.5703125" customWidth="1"/>
    <col min="6155" max="6155" width="24" customWidth="1"/>
    <col min="6156" max="6156" width="12.7109375" customWidth="1"/>
    <col min="6401" max="6401" width="7.5703125" customWidth="1"/>
    <col min="6402" max="6402" width="44" customWidth="1"/>
    <col min="6403" max="6403" width="18.140625" customWidth="1"/>
    <col min="6404" max="6404" width="17.5703125" customWidth="1"/>
    <col min="6405" max="6405" width="14.28515625" customWidth="1"/>
    <col min="6406" max="6406" width="12.5703125" customWidth="1"/>
    <col min="6407" max="6407" width="11.7109375" customWidth="1"/>
    <col min="6408" max="6408" width="41.5703125" customWidth="1"/>
    <col min="6409" max="6409" width="15.5703125" customWidth="1"/>
    <col min="6410" max="6410" width="19.5703125" customWidth="1"/>
    <col min="6411" max="6411" width="24" customWidth="1"/>
    <col min="6412" max="6412" width="12.7109375" customWidth="1"/>
    <col min="6657" max="6657" width="7.5703125" customWidth="1"/>
    <col min="6658" max="6658" width="44" customWidth="1"/>
    <col min="6659" max="6659" width="18.140625" customWidth="1"/>
    <col min="6660" max="6660" width="17.5703125" customWidth="1"/>
    <col min="6661" max="6661" width="14.28515625" customWidth="1"/>
    <col min="6662" max="6662" width="12.5703125" customWidth="1"/>
    <col min="6663" max="6663" width="11.7109375" customWidth="1"/>
    <col min="6664" max="6664" width="41.5703125" customWidth="1"/>
    <col min="6665" max="6665" width="15.5703125" customWidth="1"/>
    <col min="6666" max="6666" width="19.5703125" customWidth="1"/>
    <col min="6667" max="6667" width="24" customWidth="1"/>
    <col min="6668" max="6668" width="12.7109375" customWidth="1"/>
    <col min="6913" max="6913" width="7.5703125" customWidth="1"/>
    <col min="6914" max="6914" width="44" customWidth="1"/>
    <col min="6915" max="6915" width="18.140625" customWidth="1"/>
    <col min="6916" max="6916" width="17.5703125" customWidth="1"/>
    <col min="6917" max="6917" width="14.28515625" customWidth="1"/>
    <col min="6918" max="6918" width="12.5703125" customWidth="1"/>
    <col min="6919" max="6919" width="11.7109375" customWidth="1"/>
    <col min="6920" max="6920" width="41.5703125" customWidth="1"/>
    <col min="6921" max="6921" width="15.5703125" customWidth="1"/>
    <col min="6922" max="6922" width="19.5703125" customWidth="1"/>
    <col min="6923" max="6923" width="24" customWidth="1"/>
    <col min="6924" max="6924" width="12.7109375" customWidth="1"/>
    <col min="7169" max="7169" width="7.5703125" customWidth="1"/>
    <col min="7170" max="7170" width="44" customWidth="1"/>
    <col min="7171" max="7171" width="18.140625" customWidth="1"/>
    <col min="7172" max="7172" width="17.5703125" customWidth="1"/>
    <col min="7173" max="7173" width="14.28515625" customWidth="1"/>
    <col min="7174" max="7174" width="12.5703125" customWidth="1"/>
    <col min="7175" max="7175" width="11.7109375" customWidth="1"/>
    <col min="7176" max="7176" width="41.5703125" customWidth="1"/>
    <col min="7177" max="7177" width="15.5703125" customWidth="1"/>
    <col min="7178" max="7178" width="19.5703125" customWidth="1"/>
    <col min="7179" max="7179" width="24" customWidth="1"/>
    <col min="7180" max="7180" width="12.7109375" customWidth="1"/>
    <col min="7425" max="7425" width="7.5703125" customWidth="1"/>
    <col min="7426" max="7426" width="44" customWidth="1"/>
    <col min="7427" max="7427" width="18.140625" customWidth="1"/>
    <col min="7428" max="7428" width="17.5703125" customWidth="1"/>
    <col min="7429" max="7429" width="14.28515625" customWidth="1"/>
    <col min="7430" max="7430" width="12.5703125" customWidth="1"/>
    <col min="7431" max="7431" width="11.7109375" customWidth="1"/>
    <col min="7432" max="7432" width="41.5703125" customWidth="1"/>
    <col min="7433" max="7433" width="15.5703125" customWidth="1"/>
    <col min="7434" max="7434" width="19.5703125" customWidth="1"/>
    <col min="7435" max="7435" width="24" customWidth="1"/>
    <col min="7436" max="7436" width="12.7109375" customWidth="1"/>
    <col min="7681" max="7681" width="7.5703125" customWidth="1"/>
    <col min="7682" max="7682" width="44" customWidth="1"/>
    <col min="7683" max="7683" width="18.140625" customWidth="1"/>
    <col min="7684" max="7684" width="17.5703125" customWidth="1"/>
    <col min="7685" max="7685" width="14.28515625" customWidth="1"/>
    <col min="7686" max="7686" width="12.5703125" customWidth="1"/>
    <col min="7687" max="7687" width="11.7109375" customWidth="1"/>
    <col min="7688" max="7688" width="41.5703125" customWidth="1"/>
    <col min="7689" max="7689" width="15.5703125" customWidth="1"/>
    <col min="7690" max="7690" width="19.5703125" customWidth="1"/>
    <col min="7691" max="7691" width="24" customWidth="1"/>
    <col min="7692" max="7692" width="12.7109375" customWidth="1"/>
    <col min="7937" max="7937" width="7.5703125" customWidth="1"/>
    <col min="7938" max="7938" width="44" customWidth="1"/>
    <col min="7939" max="7939" width="18.140625" customWidth="1"/>
    <col min="7940" max="7940" width="17.5703125" customWidth="1"/>
    <col min="7941" max="7941" width="14.28515625" customWidth="1"/>
    <col min="7942" max="7942" width="12.5703125" customWidth="1"/>
    <col min="7943" max="7943" width="11.7109375" customWidth="1"/>
    <col min="7944" max="7944" width="41.5703125" customWidth="1"/>
    <col min="7945" max="7945" width="15.5703125" customWidth="1"/>
    <col min="7946" max="7946" width="19.5703125" customWidth="1"/>
    <col min="7947" max="7947" width="24" customWidth="1"/>
    <col min="7948" max="7948" width="12.7109375" customWidth="1"/>
    <col min="8193" max="8193" width="7.5703125" customWidth="1"/>
    <col min="8194" max="8194" width="44" customWidth="1"/>
    <col min="8195" max="8195" width="18.140625" customWidth="1"/>
    <col min="8196" max="8196" width="17.5703125" customWidth="1"/>
    <col min="8197" max="8197" width="14.28515625" customWidth="1"/>
    <col min="8198" max="8198" width="12.5703125" customWidth="1"/>
    <col min="8199" max="8199" width="11.7109375" customWidth="1"/>
    <col min="8200" max="8200" width="41.5703125" customWidth="1"/>
    <col min="8201" max="8201" width="15.5703125" customWidth="1"/>
    <col min="8202" max="8202" width="19.5703125" customWidth="1"/>
    <col min="8203" max="8203" width="24" customWidth="1"/>
    <col min="8204" max="8204" width="12.7109375" customWidth="1"/>
    <col min="8449" max="8449" width="7.5703125" customWidth="1"/>
    <col min="8450" max="8450" width="44" customWidth="1"/>
    <col min="8451" max="8451" width="18.140625" customWidth="1"/>
    <col min="8452" max="8452" width="17.5703125" customWidth="1"/>
    <col min="8453" max="8453" width="14.28515625" customWidth="1"/>
    <col min="8454" max="8454" width="12.5703125" customWidth="1"/>
    <col min="8455" max="8455" width="11.7109375" customWidth="1"/>
    <col min="8456" max="8456" width="41.5703125" customWidth="1"/>
    <col min="8457" max="8457" width="15.5703125" customWidth="1"/>
    <col min="8458" max="8458" width="19.5703125" customWidth="1"/>
    <col min="8459" max="8459" width="24" customWidth="1"/>
    <col min="8460" max="8460" width="12.7109375" customWidth="1"/>
    <col min="8705" max="8705" width="7.5703125" customWidth="1"/>
    <col min="8706" max="8706" width="44" customWidth="1"/>
    <col min="8707" max="8707" width="18.140625" customWidth="1"/>
    <col min="8708" max="8708" width="17.5703125" customWidth="1"/>
    <col min="8709" max="8709" width="14.28515625" customWidth="1"/>
    <col min="8710" max="8710" width="12.5703125" customWidth="1"/>
    <col min="8711" max="8711" width="11.7109375" customWidth="1"/>
    <col min="8712" max="8712" width="41.5703125" customWidth="1"/>
    <col min="8713" max="8713" width="15.5703125" customWidth="1"/>
    <col min="8714" max="8714" width="19.5703125" customWidth="1"/>
    <col min="8715" max="8715" width="24" customWidth="1"/>
    <col min="8716" max="8716" width="12.7109375" customWidth="1"/>
    <col min="8961" max="8961" width="7.5703125" customWidth="1"/>
    <col min="8962" max="8962" width="44" customWidth="1"/>
    <col min="8963" max="8963" width="18.140625" customWidth="1"/>
    <col min="8964" max="8964" width="17.5703125" customWidth="1"/>
    <col min="8965" max="8965" width="14.28515625" customWidth="1"/>
    <col min="8966" max="8966" width="12.5703125" customWidth="1"/>
    <col min="8967" max="8967" width="11.7109375" customWidth="1"/>
    <col min="8968" max="8968" width="41.5703125" customWidth="1"/>
    <col min="8969" max="8969" width="15.5703125" customWidth="1"/>
    <col min="8970" max="8970" width="19.5703125" customWidth="1"/>
    <col min="8971" max="8971" width="24" customWidth="1"/>
    <col min="8972" max="8972" width="12.7109375" customWidth="1"/>
    <col min="9217" max="9217" width="7.5703125" customWidth="1"/>
    <col min="9218" max="9218" width="44" customWidth="1"/>
    <col min="9219" max="9219" width="18.140625" customWidth="1"/>
    <col min="9220" max="9220" width="17.5703125" customWidth="1"/>
    <col min="9221" max="9221" width="14.28515625" customWidth="1"/>
    <col min="9222" max="9222" width="12.5703125" customWidth="1"/>
    <col min="9223" max="9223" width="11.7109375" customWidth="1"/>
    <col min="9224" max="9224" width="41.5703125" customWidth="1"/>
    <col min="9225" max="9225" width="15.5703125" customWidth="1"/>
    <col min="9226" max="9226" width="19.5703125" customWidth="1"/>
    <col min="9227" max="9227" width="24" customWidth="1"/>
    <col min="9228" max="9228" width="12.7109375" customWidth="1"/>
    <col min="9473" max="9473" width="7.5703125" customWidth="1"/>
    <col min="9474" max="9474" width="44" customWidth="1"/>
    <col min="9475" max="9475" width="18.140625" customWidth="1"/>
    <col min="9476" max="9476" width="17.5703125" customWidth="1"/>
    <col min="9477" max="9477" width="14.28515625" customWidth="1"/>
    <col min="9478" max="9478" width="12.5703125" customWidth="1"/>
    <col min="9479" max="9479" width="11.7109375" customWidth="1"/>
    <col min="9480" max="9480" width="41.5703125" customWidth="1"/>
    <col min="9481" max="9481" width="15.5703125" customWidth="1"/>
    <col min="9482" max="9482" width="19.5703125" customWidth="1"/>
    <col min="9483" max="9483" width="24" customWidth="1"/>
    <col min="9484" max="9484" width="12.7109375" customWidth="1"/>
    <col min="9729" max="9729" width="7.5703125" customWidth="1"/>
    <col min="9730" max="9730" width="44" customWidth="1"/>
    <col min="9731" max="9731" width="18.140625" customWidth="1"/>
    <col min="9732" max="9732" width="17.5703125" customWidth="1"/>
    <col min="9733" max="9733" width="14.28515625" customWidth="1"/>
    <col min="9734" max="9734" width="12.5703125" customWidth="1"/>
    <col min="9735" max="9735" width="11.7109375" customWidth="1"/>
    <col min="9736" max="9736" width="41.5703125" customWidth="1"/>
    <col min="9737" max="9737" width="15.5703125" customWidth="1"/>
    <col min="9738" max="9738" width="19.5703125" customWidth="1"/>
    <col min="9739" max="9739" width="24" customWidth="1"/>
    <col min="9740" max="9740" width="12.7109375" customWidth="1"/>
    <col min="9985" max="9985" width="7.5703125" customWidth="1"/>
    <col min="9986" max="9986" width="44" customWidth="1"/>
    <col min="9987" max="9987" width="18.140625" customWidth="1"/>
    <col min="9988" max="9988" width="17.5703125" customWidth="1"/>
    <col min="9989" max="9989" width="14.28515625" customWidth="1"/>
    <col min="9990" max="9990" width="12.5703125" customWidth="1"/>
    <col min="9991" max="9991" width="11.7109375" customWidth="1"/>
    <col min="9992" max="9992" width="41.5703125" customWidth="1"/>
    <col min="9993" max="9993" width="15.5703125" customWidth="1"/>
    <col min="9994" max="9994" width="19.5703125" customWidth="1"/>
    <col min="9995" max="9995" width="24" customWidth="1"/>
    <col min="9996" max="9996" width="12.7109375" customWidth="1"/>
    <col min="10241" max="10241" width="7.5703125" customWidth="1"/>
    <col min="10242" max="10242" width="44" customWidth="1"/>
    <col min="10243" max="10243" width="18.140625" customWidth="1"/>
    <col min="10244" max="10244" width="17.5703125" customWidth="1"/>
    <col min="10245" max="10245" width="14.28515625" customWidth="1"/>
    <col min="10246" max="10246" width="12.5703125" customWidth="1"/>
    <col min="10247" max="10247" width="11.7109375" customWidth="1"/>
    <col min="10248" max="10248" width="41.5703125" customWidth="1"/>
    <col min="10249" max="10249" width="15.5703125" customWidth="1"/>
    <col min="10250" max="10250" width="19.5703125" customWidth="1"/>
    <col min="10251" max="10251" width="24" customWidth="1"/>
    <col min="10252" max="10252" width="12.7109375" customWidth="1"/>
    <col min="10497" max="10497" width="7.5703125" customWidth="1"/>
    <col min="10498" max="10498" width="44" customWidth="1"/>
    <col min="10499" max="10499" width="18.140625" customWidth="1"/>
    <col min="10500" max="10500" width="17.5703125" customWidth="1"/>
    <col min="10501" max="10501" width="14.28515625" customWidth="1"/>
    <col min="10502" max="10502" width="12.5703125" customWidth="1"/>
    <col min="10503" max="10503" width="11.7109375" customWidth="1"/>
    <col min="10504" max="10504" width="41.5703125" customWidth="1"/>
    <col min="10505" max="10505" width="15.5703125" customWidth="1"/>
    <col min="10506" max="10506" width="19.5703125" customWidth="1"/>
    <col min="10507" max="10507" width="24" customWidth="1"/>
    <col min="10508" max="10508" width="12.7109375" customWidth="1"/>
    <col min="10753" max="10753" width="7.5703125" customWidth="1"/>
    <col min="10754" max="10754" width="44" customWidth="1"/>
    <col min="10755" max="10755" width="18.140625" customWidth="1"/>
    <col min="10756" max="10756" width="17.5703125" customWidth="1"/>
    <col min="10757" max="10757" width="14.28515625" customWidth="1"/>
    <col min="10758" max="10758" width="12.5703125" customWidth="1"/>
    <col min="10759" max="10759" width="11.7109375" customWidth="1"/>
    <col min="10760" max="10760" width="41.5703125" customWidth="1"/>
    <col min="10761" max="10761" width="15.5703125" customWidth="1"/>
    <col min="10762" max="10762" width="19.5703125" customWidth="1"/>
    <col min="10763" max="10763" width="24" customWidth="1"/>
    <col min="10764" max="10764" width="12.7109375" customWidth="1"/>
    <col min="11009" max="11009" width="7.5703125" customWidth="1"/>
    <col min="11010" max="11010" width="44" customWidth="1"/>
    <col min="11011" max="11011" width="18.140625" customWidth="1"/>
    <col min="11012" max="11012" width="17.5703125" customWidth="1"/>
    <col min="11013" max="11013" width="14.28515625" customWidth="1"/>
    <col min="11014" max="11014" width="12.5703125" customWidth="1"/>
    <col min="11015" max="11015" width="11.7109375" customWidth="1"/>
    <col min="11016" max="11016" width="41.5703125" customWidth="1"/>
    <col min="11017" max="11017" width="15.5703125" customWidth="1"/>
    <col min="11018" max="11018" width="19.5703125" customWidth="1"/>
    <col min="11019" max="11019" width="24" customWidth="1"/>
    <col min="11020" max="11020" width="12.7109375" customWidth="1"/>
    <col min="11265" max="11265" width="7.5703125" customWidth="1"/>
    <col min="11266" max="11266" width="44" customWidth="1"/>
    <col min="11267" max="11267" width="18.140625" customWidth="1"/>
    <col min="11268" max="11268" width="17.5703125" customWidth="1"/>
    <col min="11269" max="11269" width="14.28515625" customWidth="1"/>
    <col min="11270" max="11270" width="12.5703125" customWidth="1"/>
    <col min="11271" max="11271" width="11.7109375" customWidth="1"/>
    <col min="11272" max="11272" width="41.5703125" customWidth="1"/>
    <col min="11273" max="11273" width="15.5703125" customWidth="1"/>
    <col min="11274" max="11274" width="19.5703125" customWidth="1"/>
    <col min="11275" max="11275" width="24" customWidth="1"/>
    <col min="11276" max="11276" width="12.7109375" customWidth="1"/>
    <col min="11521" max="11521" width="7.5703125" customWidth="1"/>
    <col min="11522" max="11522" width="44" customWidth="1"/>
    <col min="11523" max="11523" width="18.140625" customWidth="1"/>
    <col min="11524" max="11524" width="17.5703125" customWidth="1"/>
    <col min="11525" max="11525" width="14.28515625" customWidth="1"/>
    <col min="11526" max="11526" width="12.5703125" customWidth="1"/>
    <col min="11527" max="11527" width="11.7109375" customWidth="1"/>
    <col min="11528" max="11528" width="41.5703125" customWidth="1"/>
    <col min="11529" max="11529" width="15.5703125" customWidth="1"/>
    <col min="11530" max="11530" width="19.5703125" customWidth="1"/>
    <col min="11531" max="11531" width="24" customWidth="1"/>
    <col min="11532" max="11532" width="12.7109375" customWidth="1"/>
    <col min="11777" max="11777" width="7.5703125" customWidth="1"/>
    <col min="11778" max="11778" width="44" customWidth="1"/>
    <col min="11779" max="11779" width="18.140625" customWidth="1"/>
    <col min="11780" max="11780" width="17.5703125" customWidth="1"/>
    <col min="11781" max="11781" width="14.28515625" customWidth="1"/>
    <col min="11782" max="11782" width="12.5703125" customWidth="1"/>
    <col min="11783" max="11783" width="11.7109375" customWidth="1"/>
    <col min="11784" max="11784" width="41.5703125" customWidth="1"/>
    <col min="11785" max="11785" width="15.5703125" customWidth="1"/>
    <col min="11786" max="11786" width="19.5703125" customWidth="1"/>
    <col min="11787" max="11787" width="24" customWidth="1"/>
    <col min="11788" max="11788" width="12.7109375" customWidth="1"/>
    <col min="12033" max="12033" width="7.5703125" customWidth="1"/>
    <col min="12034" max="12034" width="44" customWidth="1"/>
    <col min="12035" max="12035" width="18.140625" customWidth="1"/>
    <col min="12036" max="12036" width="17.5703125" customWidth="1"/>
    <col min="12037" max="12037" width="14.28515625" customWidth="1"/>
    <col min="12038" max="12038" width="12.5703125" customWidth="1"/>
    <col min="12039" max="12039" width="11.7109375" customWidth="1"/>
    <col min="12040" max="12040" width="41.5703125" customWidth="1"/>
    <col min="12041" max="12041" width="15.5703125" customWidth="1"/>
    <col min="12042" max="12042" width="19.5703125" customWidth="1"/>
    <col min="12043" max="12043" width="24" customWidth="1"/>
    <col min="12044" max="12044" width="12.7109375" customWidth="1"/>
    <col min="12289" max="12289" width="7.5703125" customWidth="1"/>
    <col min="12290" max="12290" width="44" customWidth="1"/>
    <col min="12291" max="12291" width="18.140625" customWidth="1"/>
    <col min="12292" max="12292" width="17.5703125" customWidth="1"/>
    <col min="12293" max="12293" width="14.28515625" customWidth="1"/>
    <col min="12294" max="12294" width="12.5703125" customWidth="1"/>
    <col min="12295" max="12295" width="11.7109375" customWidth="1"/>
    <col min="12296" max="12296" width="41.5703125" customWidth="1"/>
    <col min="12297" max="12297" width="15.5703125" customWidth="1"/>
    <col min="12298" max="12298" width="19.5703125" customWidth="1"/>
    <col min="12299" max="12299" width="24" customWidth="1"/>
    <col min="12300" max="12300" width="12.7109375" customWidth="1"/>
    <col min="12545" max="12545" width="7.5703125" customWidth="1"/>
    <col min="12546" max="12546" width="44" customWidth="1"/>
    <col min="12547" max="12547" width="18.140625" customWidth="1"/>
    <col min="12548" max="12548" width="17.5703125" customWidth="1"/>
    <col min="12549" max="12549" width="14.28515625" customWidth="1"/>
    <col min="12550" max="12550" width="12.5703125" customWidth="1"/>
    <col min="12551" max="12551" width="11.7109375" customWidth="1"/>
    <col min="12552" max="12552" width="41.5703125" customWidth="1"/>
    <col min="12553" max="12553" width="15.5703125" customWidth="1"/>
    <col min="12554" max="12554" width="19.5703125" customWidth="1"/>
    <col min="12555" max="12555" width="24" customWidth="1"/>
    <col min="12556" max="12556" width="12.7109375" customWidth="1"/>
    <col min="12801" max="12801" width="7.5703125" customWidth="1"/>
    <col min="12802" max="12802" width="44" customWidth="1"/>
    <col min="12803" max="12803" width="18.140625" customWidth="1"/>
    <col min="12804" max="12804" width="17.5703125" customWidth="1"/>
    <col min="12805" max="12805" width="14.28515625" customWidth="1"/>
    <col min="12806" max="12806" width="12.5703125" customWidth="1"/>
    <col min="12807" max="12807" width="11.7109375" customWidth="1"/>
    <col min="12808" max="12808" width="41.5703125" customWidth="1"/>
    <col min="12809" max="12809" width="15.5703125" customWidth="1"/>
    <col min="12810" max="12810" width="19.5703125" customWidth="1"/>
    <col min="12811" max="12811" width="24" customWidth="1"/>
    <col min="12812" max="12812" width="12.7109375" customWidth="1"/>
    <col min="13057" max="13057" width="7.5703125" customWidth="1"/>
    <col min="13058" max="13058" width="44" customWidth="1"/>
    <col min="13059" max="13059" width="18.140625" customWidth="1"/>
    <col min="13060" max="13060" width="17.5703125" customWidth="1"/>
    <col min="13061" max="13061" width="14.28515625" customWidth="1"/>
    <col min="13062" max="13062" width="12.5703125" customWidth="1"/>
    <col min="13063" max="13063" width="11.7109375" customWidth="1"/>
    <col min="13064" max="13064" width="41.5703125" customWidth="1"/>
    <col min="13065" max="13065" width="15.5703125" customWidth="1"/>
    <col min="13066" max="13066" width="19.5703125" customWidth="1"/>
    <col min="13067" max="13067" width="24" customWidth="1"/>
    <col min="13068" max="13068" width="12.7109375" customWidth="1"/>
    <col min="13313" max="13313" width="7.5703125" customWidth="1"/>
    <col min="13314" max="13314" width="44" customWidth="1"/>
    <col min="13315" max="13315" width="18.140625" customWidth="1"/>
    <col min="13316" max="13316" width="17.5703125" customWidth="1"/>
    <col min="13317" max="13317" width="14.28515625" customWidth="1"/>
    <col min="13318" max="13318" width="12.5703125" customWidth="1"/>
    <col min="13319" max="13319" width="11.7109375" customWidth="1"/>
    <col min="13320" max="13320" width="41.5703125" customWidth="1"/>
    <col min="13321" max="13321" width="15.5703125" customWidth="1"/>
    <col min="13322" max="13322" width="19.5703125" customWidth="1"/>
    <col min="13323" max="13323" width="24" customWidth="1"/>
    <col min="13324" max="13324" width="12.7109375" customWidth="1"/>
    <col min="13569" max="13569" width="7.5703125" customWidth="1"/>
    <col min="13570" max="13570" width="44" customWidth="1"/>
    <col min="13571" max="13571" width="18.140625" customWidth="1"/>
    <col min="13572" max="13572" width="17.5703125" customWidth="1"/>
    <col min="13573" max="13573" width="14.28515625" customWidth="1"/>
    <col min="13574" max="13574" width="12.5703125" customWidth="1"/>
    <col min="13575" max="13575" width="11.7109375" customWidth="1"/>
    <col min="13576" max="13576" width="41.5703125" customWidth="1"/>
    <col min="13577" max="13577" width="15.5703125" customWidth="1"/>
    <col min="13578" max="13578" width="19.5703125" customWidth="1"/>
    <col min="13579" max="13579" width="24" customWidth="1"/>
    <col min="13580" max="13580" width="12.7109375" customWidth="1"/>
    <col min="13825" max="13825" width="7.5703125" customWidth="1"/>
    <col min="13826" max="13826" width="44" customWidth="1"/>
    <col min="13827" max="13827" width="18.140625" customWidth="1"/>
    <col min="13828" max="13828" width="17.5703125" customWidth="1"/>
    <col min="13829" max="13829" width="14.28515625" customWidth="1"/>
    <col min="13830" max="13830" width="12.5703125" customWidth="1"/>
    <col min="13831" max="13831" width="11.7109375" customWidth="1"/>
    <col min="13832" max="13832" width="41.5703125" customWidth="1"/>
    <col min="13833" max="13833" width="15.5703125" customWidth="1"/>
    <col min="13834" max="13834" width="19.5703125" customWidth="1"/>
    <col min="13835" max="13835" width="24" customWidth="1"/>
    <col min="13836" max="13836" width="12.7109375" customWidth="1"/>
    <col min="14081" max="14081" width="7.5703125" customWidth="1"/>
    <col min="14082" max="14082" width="44" customWidth="1"/>
    <col min="14083" max="14083" width="18.140625" customWidth="1"/>
    <col min="14084" max="14084" width="17.5703125" customWidth="1"/>
    <col min="14085" max="14085" width="14.28515625" customWidth="1"/>
    <col min="14086" max="14086" width="12.5703125" customWidth="1"/>
    <col min="14087" max="14087" width="11.7109375" customWidth="1"/>
    <col min="14088" max="14088" width="41.5703125" customWidth="1"/>
    <col min="14089" max="14089" width="15.5703125" customWidth="1"/>
    <col min="14090" max="14090" width="19.5703125" customWidth="1"/>
    <col min="14091" max="14091" width="24" customWidth="1"/>
    <col min="14092" max="14092" width="12.7109375" customWidth="1"/>
    <col min="14337" max="14337" width="7.5703125" customWidth="1"/>
    <col min="14338" max="14338" width="44" customWidth="1"/>
    <col min="14339" max="14339" width="18.140625" customWidth="1"/>
    <col min="14340" max="14340" width="17.5703125" customWidth="1"/>
    <col min="14341" max="14341" width="14.28515625" customWidth="1"/>
    <col min="14342" max="14342" width="12.5703125" customWidth="1"/>
    <col min="14343" max="14343" width="11.7109375" customWidth="1"/>
    <col min="14344" max="14344" width="41.5703125" customWidth="1"/>
    <col min="14345" max="14345" width="15.5703125" customWidth="1"/>
    <col min="14346" max="14346" width="19.5703125" customWidth="1"/>
    <col min="14347" max="14347" width="24" customWidth="1"/>
    <col min="14348" max="14348" width="12.7109375" customWidth="1"/>
    <col min="14593" max="14593" width="7.5703125" customWidth="1"/>
    <col min="14594" max="14594" width="44" customWidth="1"/>
    <col min="14595" max="14595" width="18.140625" customWidth="1"/>
    <col min="14596" max="14596" width="17.5703125" customWidth="1"/>
    <col min="14597" max="14597" width="14.28515625" customWidth="1"/>
    <col min="14598" max="14598" width="12.5703125" customWidth="1"/>
    <col min="14599" max="14599" width="11.7109375" customWidth="1"/>
    <col min="14600" max="14600" width="41.5703125" customWidth="1"/>
    <col min="14601" max="14601" width="15.5703125" customWidth="1"/>
    <col min="14602" max="14602" width="19.5703125" customWidth="1"/>
    <col min="14603" max="14603" width="24" customWidth="1"/>
    <col min="14604" max="14604" width="12.7109375" customWidth="1"/>
    <col min="14849" max="14849" width="7.5703125" customWidth="1"/>
    <col min="14850" max="14850" width="44" customWidth="1"/>
    <col min="14851" max="14851" width="18.140625" customWidth="1"/>
    <col min="14852" max="14852" width="17.5703125" customWidth="1"/>
    <col min="14853" max="14853" width="14.28515625" customWidth="1"/>
    <col min="14854" max="14854" width="12.5703125" customWidth="1"/>
    <col min="14855" max="14855" width="11.7109375" customWidth="1"/>
    <col min="14856" max="14856" width="41.5703125" customWidth="1"/>
    <col min="14857" max="14857" width="15.5703125" customWidth="1"/>
    <col min="14858" max="14858" width="19.5703125" customWidth="1"/>
    <col min="14859" max="14859" width="24" customWidth="1"/>
    <col min="14860" max="14860" width="12.7109375" customWidth="1"/>
    <col min="15105" max="15105" width="7.5703125" customWidth="1"/>
    <col min="15106" max="15106" width="44" customWidth="1"/>
    <col min="15107" max="15107" width="18.140625" customWidth="1"/>
    <col min="15108" max="15108" width="17.5703125" customWidth="1"/>
    <col min="15109" max="15109" width="14.28515625" customWidth="1"/>
    <col min="15110" max="15110" width="12.5703125" customWidth="1"/>
    <col min="15111" max="15111" width="11.7109375" customWidth="1"/>
    <col min="15112" max="15112" width="41.5703125" customWidth="1"/>
    <col min="15113" max="15113" width="15.5703125" customWidth="1"/>
    <col min="15114" max="15114" width="19.5703125" customWidth="1"/>
    <col min="15115" max="15115" width="24" customWidth="1"/>
    <col min="15116" max="15116" width="12.7109375" customWidth="1"/>
    <col min="15361" max="15361" width="7.5703125" customWidth="1"/>
    <col min="15362" max="15362" width="44" customWidth="1"/>
    <col min="15363" max="15363" width="18.140625" customWidth="1"/>
    <col min="15364" max="15364" width="17.5703125" customWidth="1"/>
    <col min="15365" max="15365" width="14.28515625" customWidth="1"/>
    <col min="15366" max="15366" width="12.5703125" customWidth="1"/>
    <col min="15367" max="15367" width="11.7109375" customWidth="1"/>
    <col min="15368" max="15368" width="41.5703125" customWidth="1"/>
    <col min="15369" max="15369" width="15.5703125" customWidth="1"/>
    <col min="15370" max="15370" width="19.5703125" customWidth="1"/>
    <col min="15371" max="15371" width="24" customWidth="1"/>
    <col min="15372" max="15372" width="12.7109375" customWidth="1"/>
    <col min="15617" max="15617" width="7.5703125" customWidth="1"/>
    <col min="15618" max="15618" width="44" customWidth="1"/>
    <col min="15619" max="15619" width="18.140625" customWidth="1"/>
    <col min="15620" max="15620" width="17.5703125" customWidth="1"/>
    <col min="15621" max="15621" width="14.28515625" customWidth="1"/>
    <col min="15622" max="15622" width="12.5703125" customWidth="1"/>
    <col min="15623" max="15623" width="11.7109375" customWidth="1"/>
    <col min="15624" max="15624" width="41.5703125" customWidth="1"/>
    <col min="15625" max="15625" width="15.5703125" customWidth="1"/>
    <col min="15626" max="15626" width="19.5703125" customWidth="1"/>
    <col min="15627" max="15627" width="24" customWidth="1"/>
    <col min="15628" max="15628" width="12.7109375" customWidth="1"/>
    <col min="15873" max="15873" width="7.5703125" customWidth="1"/>
    <col min="15874" max="15874" width="44" customWidth="1"/>
    <col min="15875" max="15875" width="18.140625" customWidth="1"/>
    <col min="15876" max="15876" width="17.5703125" customWidth="1"/>
    <col min="15877" max="15877" width="14.28515625" customWidth="1"/>
    <col min="15878" max="15878" width="12.5703125" customWidth="1"/>
    <col min="15879" max="15879" width="11.7109375" customWidth="1"/>
    <col min="15880" max="15880" width="41.5703125" customWidth="1"/>
    <col min="15881" max="15881" width="15.5703125" customWidth="1"/>
    <col min="15882" max="15882" width="19.5703125" customWidth="1"/>
    <col min="15883" max="15883" width="24" customWidth="1"/>
    <col min="15884" max="15884" width="12.7109375" customWidth="1"/>
    <col min="16129" max="16129" width="7.5703125" customWidth="1"/>
    <col min="16130" max="16130" width="44" customWidth="1"/>
    <col min="16131" max="16131" width="18.140625" customWidth="1"/>
    <col min="16132" max="16132" width="17.5703125" customWidth="1"/>
    <col min="16133" max="16133" width="14.28515625" customWidth="1"/>
    <col min="16134" max="16134" width="12.5703125" customWidth="1"/>
    <col min="16135" max="16135" width="11.7109375" customWidth="1"/>
    <col min="16136" max="16136" width="41.5703125" customWidth="1"/>
    <col min="16137" max="16137" width="15.5703125" customWidth="1"/>
    <col min="16138" max="16138" width="19.5703125" customWidth="1"/>
    <col min="16139" max="16139" width="24" customWidth="1"/>
    <col min="16140" max="16140" width="12.7109375" customWidth="1"/>
  </cols>
  <sheetData>
    <row r="2" spans="1:10" x14ac:dyDescent="0.25">
      <c r="A2" s="482" t="s">
        <v>324</v>
      </c>
      <c r="B2" s="482"/>
      <c r="C2" s="482"/>
      <c r="D2" s="482"/>
    </row>
    <row r="3" spans="1:10" x14ac:dyDescent="0.25">
      <c r="A3" s="483" t="s">
        <v>325</v>
      </c>
      <c r="B3" s="483"/>
      <c r="C3" s="483"/>
      <c r="D3" s="483"/>
      <c r="H3" s="183" t="s">
        <v>326</v>
      </c>
    </row>
    <row r="4" spans="1:10" x14ac:dyDescent="0.25">
      <c r="H4" s="185" t="s">
        <v>327</v>
      </c>
    </row>
    <row r="5" spans="1:10" ht="11.85" customHeight="1" x14ac:dyDescent="0.25">
      <c r="A5" s="484" t="s">
        <v>2</v>
      </c>
      <c r="B5" s="484" t="s">
        <v>328</v>
      </c>
      <c r="C5" s="484" t="s">
        <v>5</v>
      </c>
      <c r="D5" s="186"/>
    </row>
    <row r="6" spans="1:10" ht="11.85" customHeight="1" x14ac:dyDescent="0.25">
      <c r="A6" s="484"/>
      <c r="B6" s="484"/>
      <c r="C6" s="484"/>
      <c r="D6" s="186" t="s">
        <v>329</v>
      </c>
      <c r="H6" s="187" t="s">
        <v>330</v>
      </c>
    </row>
    <row r="7" spans="1:10" ht="11.85" customHeight="1" x14ac:dyDescent="0.25">
      <c r="A7" s="484"/>
      <c r="B7" s="484"/>
      <c r="C7" s="484"/>
      <c r="D7" s="186" t="s">
        <v>331</v>
      </c>
    </row>
    <row r="8" spans="1:10" ht="11.85" customHeight="1" x14ac:dyDescent="0.25">
      <c r="A8" s="188" t="s">
        <v>6</v>
      </c>
      <c r="B8" s="189" t="s">
        <v>332</v>
      </c>
      <c r="C8" s="188" t="s">
        <v>99</v>
      </c>
      <c r="D8" s="190">
        <v>45795680</v>
      </c>
      <c r="E8" s="191">
        <f>D9+D18+D29+D30+D61+D79+D80+D81+D82</f>
        <v>45795680</v>
      </c>
      <c r="F8" s="191"/>
      <c r="G8" s="474" t="s">
        <v>2</v>
      </c>
      <c r="H8" s="475" t="s">
        <v>333</v>
      </c>
      <c r="I8" s="192">
        <v>2019</v>
      </c>
      <c r="J8" s="193"/>
    </row>
    <row r="9" spans="1:10" ht="11.85" customHeight="1" x14ac:dyDescent="0.25">
      <c r="A9" s="194" t="s">
        <v>46</v>
      </c>
      <c r="B9" s="189" t="s">
        <v>334</v>
      </c>
      <c r="C9" s="188" t="s">
        <v>99</v>
      </c>
      <c r="D9" s="190">
        <v>31194453</v>
      </c>
      <c r="G9" s="474"/>
      <c r="H9" s="475"/>
      <c r="I9" s="195"/>
      <c r="J9" s="196">
        <v>3986062.4530000002</v>
      </c>
    </row>
    <row r="10" spans="1:10" ht="11.85" customHeight="1" x14ac:dyDescent="0.25">
      <c r="A10" s="197" t="s">
        <v>335</v>
      </c>
      <c r="B10" s="198" t="s">
        <v>336</v>
      </c>
      <c r="C10" s="197" t="s">
        <v>99</v>
      </c>
      <c r="D10" s="199">
        <v>454972</v>
      </c>
      <c r="E10" s="200">
        <f>J29</f>
        <v>454971638.85000002</v>
      </c>
      <c r="G10" s="474"/>
      <c r="H10" s="475" t="s">
        <v>337</v>
      </c>
      <c r="I10" s="201" t="s">
        <v>338</v>
      </c>
      <c r="J10" s="193"/>
    </row>
    <row r="11" spans="1:10" ht="11.85" customHeight="1" x14ac:dyDescent="0.25">
      <c r="A11" s="197" t="s">
        <v>339</v>
      </c>
      <c r="B11" s="198" t="s">
        <v>340</v>
      </c>
      <c r="C11" s="197" t="s">
        <v>99</v>
      </c>
      <c r="D11" s="202">
        <v>40950</v>
      </c>
      <c r="E11" s="200">
        <f>J14</f>
        <v>40949611.240000002</v>
      </c>
      <c r="G11" s="474"/>
      <c r="H11" s="475"/>
      <c r="I11" s="203" t="s">
        <v>341</v>
      </c>
      <c r="J11" s="203" t="s">
        <v>342</v>
      </c>
    </row>
    <row r="12" spans="1:10" ht="11.85" customHeight="1" x14ac:dyDescent="0.25">
      <c r="A12" s="197" t="s">
        <v>343</v>
      </c>
      <c r="B12" s="198" t="s">
        <v>14</v>
      </c>
      <c r="C12" s="197" t="s">
        <v>99</v>
      </c>
      <c r="D12" s="202">
        <v>24366882</v>
      </c>
      <c r="E12" s="200">
        <f>J13</f>
        <v>24366881619.34</v>
      </c>
      <c r="G12" s="204"/>
    </row>
    <row r="13" spans="1:10" ht="11.85" customHeight="1" x14ac:dyDescent="0.25">
      <c r="A13" s="197" t="s">
        <v>344</v>
      </c>
      <c r="B13" s="198" t="s">
        <v>345</v>
      </c>
      <c r="C13" s="197" t="s">
        <v>99</v>
      </c>
      <c r="D13" s="199">
        <v>6331650</v>
      </c>
      <c r="G13" s="205">
        <v>1</v>
      </c>
      <c r="H13" s="206" t="s">
        <v>52</v>
      </c>
      <c r="I13" s="207">
        <v>6113.02</v>
      </c>
      <c r="J13" s="208">
        <v>24366881619.34</v>
      </c>
    </row>
    <row r="14" spans="1:10" ht="11.85" customHeight="1" x14ac:dyDescent="0.25">
      <c r="A14" s="197"/>
      <c r="B14" s="198" t="s">
        <v>346</v>
      </c>
      <c r="C14" s="197" t="s">
        <v>99</v>
      </c>
      <c r="D14" s="199">
        <v>5440880</v>
      </c>
      <c r="E14" s="200">
        <f>J16+J17</f>
        <v>5440879727.8199997</v>
      </c>
      <c r="G14" s="205">
        <v>2</v>
      </c>
      <c r="H14" s="206" t="s">
        <v>347</v>
      </c>
      <c r="I14" s="209">
        <v>10.27</v>
      </c>
      <c r="J14" s="208">
        <v>40949611.240000002</v>
      </c>
    </row>
    <row r="15" spans="1:10" ht="11.85" customHeight="1" x14ac:dyDescent="0.25">
      <c r="A15" s="197"/>
      <c r="B15" s="198" t="s">
        <v>348</v>
      </c>
      <c r="C15" s="197" t="s">
        <v>99</v>
      </c>
      <c r="D15" s="199">
        <v>60885</v>
      </c>
      <c r="E15" s="200">
        <f>J15</f>
        <v>60884834.25</v>
      </c>
      <c r="G15" s="205">
        <v>3</v>
      </c>
      <c r="H15" s="206" t="s">
        <v>349</v>
      </c>
      <c r="I15" s="209">
        <v>15.27</v>
      </c>
      <c r="J15" s="207">
        <v>60884834.25</v>
      </c>
    </row>
    <row r="16" spans="1:10" ht="11.85" customHeight="1" x14ac:dyDescent="0.25">
      <c r="A16" s="197"/>
      <c r="B16" s="198" t="s">
        <v>350</v>
      </c>
      <c r="C16" s="197" t="s">
        <v>99</v>
      </c>
      <c r="D16" s="199">
        <v>327590</v>
      </c>
      <c r="E16" s="200">
        <f>J18</f>
        <v>327590245.76999998</v>
      </c>
      <c r="G16" s="205">
        <v>4</v>
      </c>
      <c r="H16" s="206" t="s">
        <v>351</v>
      </c>
      <c r="I16" s="207">
        <v>1364.11</v>
      </c>
      <c r="J16" s="207">
        <v>5437431460.8800001</v>
      </c>
    </row>
    <row r="17" spans="1:10" ht="11.85" customHeight="1" x14ac:dyDescent="0.25">
      <c r="A17" s="197"/>
      <c r="B17" s="198" t="s">
        <v>352</v>
      </c>
      <c r="C17" s="197" t="s">
        <v>99</v>
      </c>
      <c r="D17" s="199">
        <v>502295</v>
      </c>
      <c r="E17" s="200">
        <f>J19</f>
        <v>502294840.51999998</v>
      </c>
      <c r="G17" s="205">
        <v>5</v>
      </c>
      <c r="H17" s="206" t="s">
        <v>353</v>
      </c>
      <c r="I17" s="209">
        <v>0.87</v>
      </c>
      <c r="J17" s="207">
        <v>3448266.94</v>
      </c>
    </row>
    <row r="18" spans="1:10" ht="11.85" customHeight="1" x14ac:dyDescent="0.25">
      <c r="A18" s="194" t="s">
        <v>56</v>
      </c>
      <c r="B18" s="189" t="s">
        <v>354</v>
      </c>
      <c r="C18" s="188" t="s">
        <v>99</v>
      </c>
      <c r="D18" s="190">
        <v>2295826</v>
      </c>
      <c r="G18" s="205">
        <v>6</v>
      </c>
      <c r="H18" s="206" t="s">
        <v>355</v>
      </c>
      <c r="I18" s="209">
        <v>82.18</v>
      </c>
      <c r="J18" s="207">
        <v>327590245.76999998</v>
      </c>
    </row>
    <row r="19" spans="1:10" ht="11.85" customHeight="1" x14ac:dyDescent="0.25">
      <c r="A19" s="197" t="s">
        <v>356</v>
      </c>
      <c r="B19" s="198" t="s">
        <v>132</v>
      </c>
      <c r="C19" s="197" t="s">
        <v>99</v>
      </c>
      <c r="D19" s="199">
        <v>2054423</v>
      </c>
      <c r="G19" s="205">
        <v>7</v>
      </c>
      <c r="H19" s="206" t="s">
        <v>357</v>
      </c>
      <c r="I19" s="209">
        <v>126.01</v>
      </c>
      <c r="J19" s="207">
        <v>502294840.51999998</v>
      </c>
    </row>
    <row r="20" spans="1:10" ht="22.35" customHeight="1" x14ac:dyDescent="0.25">
      <c r="A20" s="197"/>
      <c r="B20" s="198" t="s">
        <v>358</v>
      </c>
      <c r="C20" s="197" t="s">
        <v>99</v>
      </c>
      <c r="D20" s="199">
        <v>696852</v>
      </c>
      <c r="E20" s="200">
        <f>J23</f>
        <v>696851569.15999997</v>
      </c>
      <c r="G20" s="205">
        <v>8</v>
      </c>
      <c r="H20" s="206" t="s">
        <v>359</v>
      </c>
      <c r="I20" s="210"/>
      <c r="J20" s="210"/>
    </row>
    <row r="21" spans="1:10" ht="11.85" customHeight="1" x14ac:dyDescent="0.25">
      <c r="A21" s="197"/>
      <c r="B21" s="211" t="s">
        <v>360</v>
      </c>
      <c r="C21" s="197"/>
      <c r="D21" s="197"/>
      <c r="G21" s="205">
        <v>9</v>
      </c>
      <c r="H21" s="206" t="s">
        <v>361</v>
      </c>
      <c r="I21" s="210"/>
      <c r="J21" s="210"/>
    </row>
    <row r="22" spans="1:10" ht="22.35" customHeight="1" x14ac:dyDescent="0.25">
      <c r="A22" s="197"/>
      <c r="B22" s="198" t="s">
        <v>362</v>
      </c>
      <c r="C22" s="197" t="s">
        <v>99</v>
      </c>
      <c r="D22" s="199">
        <v>1357571</v>
      </c>
      <c r="E22" s="200">
        <f>J30</f>
        <v>1357571195.45</v>
      </c>
      <c r="G22" s="205">
        <v>10</v>
      </c>
      <c r="H22" s="206" t="s">
        <v>363</v>
      </c>
      <c r="I22" s="210"/>
      <c r="J22" s="210"/>
    </row>
    <row r="23" spans="1:10" ht="11.85" customHeight="1" x14ac:dyDescent="0.25">
      <c r="A23" s="197" t="s">
        <v>364</v>
      </c>
      <c r="B23" s="198" t="s">
        <v>365</v>
      </c>
      <c r="C23" s="197" t="s">
        <v>99</v>
      </c>
      <c r="D23" s="199">
        <v>241403</v>
      </c>
      <c r="E23" s="200">
        <f>J24+J25+J31+J32</f>
        <v>241403482.63999999</v>
      </c>
      <c r="G23" s="205">
        <v>11</v>
      </c>
      <c r="H23" s="206" t="s">
        <v>366</v>
      </c>
      <c r="I23" s="209">
        <v>174.82</v>
      </c>
      <c r="J23" s="207">
        <v>696851569.15999997</v>
      </c>
    </row>
    <row r="24" spans="1:10" ht="11.85" customHeight="1" x14ac:dyDescent="0.25">
      <c r="A24" s="197"/>
      <c r="B24" s="211" t="s">
        <v>360</v>
      </c>
      <c r="C24" s="197"/>
      <c r="D24" s="197"/>
      <c r="G24" s="205">
        <v>12</v>
      </c>
      <c r="H24" s="206" t="s">
        <v>367</v>
      </c>
      <c r="I24" s="209">
        <v>9.94</v>
      </c>
      <c r="J24" s="207">
        <v>39636334.780000001</v>
      </c>
    </row>
    <row r="25" spans="1:10" ht="11.85" customHeight="1" x14ac:dyDescent="0.25">
      <c r="A25" s="197"/>
      <c r="B25" s="198" t="s">
        <v>368</v>
      </c>
      <c r="C25" s="197" t="s">
        <v>99</v>
      </c>
      <c r="D25" s="199">
        <v>119023</v>
      </c>
      <c r="E25" s="200"/>
      <c r="G25" s="205">
        <v>13</v>
      </c>
      <c r="H25" s="206" t="s">
        <v>369</v>
      </c>
      <c r="I25" s="209">
        <v>13.14</v>
      </c>
      <c r="J25" s="207">
        <v>52384508.140000001</v>
      </c>
    </row>
    <row r="26" spans="1:10" ht="11.85" customHeight="1" x14ac:dyDescent="0.25">
      <c r="A26" s="197"/>
      <c r="B26" s="198" t="s">
        <v>370</v>
      </c>
      <c r="C26" s="197" t="s">
        <v>99</v>
      </c>
      <c r="D26" s="199">
        <v>56980</v>
      </c>
      <c r="G26" s="205">
        <v>14</v>
      </c>
      <c r="H26" s="206" t="s">
        <v>18</v>
      </c>
      <c r="I26" s="209">
        <v>176.61</v>
      </c>
      <c r="J26" s="207">
        <v>703970561.30999994</v>
      </c>
    </row>
    <row r="27" spans="1:10" ht="22.35" customHeight="1" x14ac:dyDescent="0.25">
      <c r="A27" s="197"/>
      <c r="B27" s="198" t="s">
        <v>371</v>
      </c>
      <c r="C27" s="197" t="s">
        <v>99</v>
      </c>
      <c r="D27" s="199">
        <v>36849</v>
      </c>
      <c r="G27" s="212">
        <v>15</v>
      </c>
      <c r="H27" s="206" t="s">
        <v>372</v>
      </c>
      <c r="I27" s="209">
        <v>704.08</v>
      </c>
      <c r="J27" s="207">
        <v>2806455666.5</v>
      </c>
    </row>
    <row r="28" spans="1:10" ht="11.85" customHeight="1" x14ac:dyDescent="0.25">
      <c r="A28" s="197"/>
      <c r="B28" s="198" t="s">
        <v>373</v>
      </c>
      <c r="C28" s="197" t="s">
        <v>99</v>
      </c>
      <c r="D28" s="199">
        <v>28551</v>
      </c>
      <c r="G28" s="213" t="s">
        <v>374</v>
      </c>
      <c r="H28" s="206" t="s">
        <v>111</v>
      </c>
      <c r="I28" s="209">
        <v>21.29</v>
      </c>
      <c r="J28" s="207">
        <v>84844806.810000002</v>
      </c>
    </row>
    <row r="29" spans="1:10" ht="11.85" customHeight="1" x14ac:dyDescent="0.25">
      <c r="A29" s="194" t="s">
        <v>98</v>
      </c>
      <c r="B29" s="189" t="s">
        <v>18</v>
      </c>
      <c r="C29" s="188" t="s">
        <v>99</v>
      </c>
      <c r="D29" s="190">
        <v>1240564</v>
      </c>
      <c r="E29" s="200">
        <f>J26+J33</f>
        <v>1240564285.73</v>
      </c>
      <c r="G29" s="213" t="s">
        <v>375</v>
      </c>
      <c r="H29" s="206" t="s">
        <v>376</v>
      </c>
      <c r="I29" s="209">
        <v>114.14</v>
      </c>
      <c r="J29" s="207">
        <v>454971638.85000002</v>
      </c>
    </row>
    <row r="30" spans="1:10" ht="11.85" customHeight="1" x14ac:dyDescent="0.25">
      <c r="A30" s="194" t="s">
        <v>58</v>
      </c>
      <c r="B30" s="189" t="s">
        <v>377</v>
      </c>
      <c r="C30" s="188" t="s">
        <v>99</v>
      </c>
      <c r="D30" s="190">
        <v>5088285</v>
      </c>
      <c r="G30" s="213" t="s">
        <v>378</v>
      </c>
      <c r="H30" s="206" t="s">
        <v>379</v>
      </c>
      <c r="I30" s="209">
        <v>340.58</v>
      </c>
      <c r="J30" s="207">
        <v>1357571195.45</v>
      </c>
    </row>
    <row r="31" spans="1:10" ht="11.85" customHeight="1" x14ac:dyDescent="0.25">
      <c r="A31" s="197"/>
      <c r="B31" s="189" t="s">
        <v>380</v>
      </c>
      <c r="C31" s="197" t="s">
        <v>99</v>
      </c>
      <c r="D31" s="190">
        <v>84845</v>
      </c>
      <c r="E31" s="200">
        <f>J28</f>
        <v>84844806.810000002</v>
      </c>
      <c r="G31" s="213" t="s">
        <v>381</v>
      </c>
      <c r="H31" s="206" t="s">
        <v>367</v>
      </c>
      <c r="I31" s="209">
        <v>19.920000000000002</v>
      </c>
      <c r="J31" s="207">
        <v>79386915.280000001</v>
      </c>
    </row>
    <row r="32" spans="1:10" ht="11.85" customHeight="1" x14ac:dyDescent="0.25">
      <c r="A32" s="197"/>
      <c r="B32" s="211" t="s">
        <v>360</v>
      </c>
      <c r="C32" s="197"/>
      <c r="D32" s="197"/>
      <c r="G32" s="213" t="s">
        <v>382</v>
      </c>
      <c r="H32" s="206" t="s">
        <v>369</v>
      </c>
      <c r="I32" s="209">
        <v>17.559999999999999</v>
      </c>
      <c r="J32" s="207">
        <v>69995724.439999998</v>
      </c>
    </row>
    <row r="33" spans="1:11" ht="11.85" customHeight="1" x14ac:dyDescent="0.25">
      <c r="A33" s="197"/>
      <c r="B33" s="198" t="s">
        <v>383</v>
      </c>
      <c r="C33" s="197" t="s">
        <v>99</v>
      </c>
      <c r="D33" s="214">
        <v>307</v>
      </c>
      <c r="G33" s="213" t="s">
        <v>384</v>
      </c>
      <c r="H33" s="206" t="s">
        <v>18</v>
      </c>
      <c r="I33" s="209">
        <v>134.62</v>
      </c>
      <c r="J33" s="207">
        <v>536593724.42000002</v>
      </c>
    </row>
    <row r="34" spans="1:11" ht="11.85" customHeight="1" x14ac:dyDescent="0.25">
      <c r="A34" s="197"/>
      <c r="B34" s="198" t="s">
        <v>385</v>
      </c>
      <c r="C34" s="197" t="s">
        <v>99</v>
      </c>
      <c r="D34" s="199">
        <v>5621</v>
      </c>
      <c r="G34" s="213" t="s">
        <v>386</v>
      </c>
      <c r="H34" s="206" t="s">
        <v>387</v>
      </c>
      <c r="I34" s="209">
        <v>55.97</v>
      </c>
      <c r="J34" s="207">
        <v>223091661.25</v>
      </c>
    </row>
    <row r="35" spans="1:11" ht="11.85" customHeight="1" x14ac:dyDescent="0.25">
      <c r="A35" s="197"/>
      <c r="B35" s="198" t="s">
        <v>388</v>
      </c>
      <c r="C35" s="197" t="s">
        <v>99</v>
      </c>
      <c r="D35" s="199">
        <v>1651</v>
      </c>
      <c r="G35" s="213" t="s">
        <v>389</v>
      </c>
      <c r="H35" s="206" t="s">
        <v>377</v>
      </c>
      <c r="I35" s="210"/>
      <c r="J35" s="210"/>
    </row>
    <row r="36" spans="1:11" ht="11.85" customHeight="1" x14ac:dyDescent="0.25">
      <c r="A36" s="197"/>
      <c r="B36" s="198" t="s">
        <v>390</v>
      </c>
      <c r="C36" s="197" t="s">
        <v>99</v>
      </c>
      <c r="D36" s="199">
        <v>5980</v>
      </c>
      <c r="G36" s="213" t="s">
        <v>391</v>
      </c>
      <c r="H36" s="215" t="s">
        <v>392</v>
      </c>
      <c r="I36" s="216">
        <v>8790.34</v>
      </c>
      <c r="J36" s="216">
        <v>35038779518.830002</v>
      </c>
    </row>
    <row r="37" spans="1:11" ht="11.85" customHeight="1" x14ac:dyDescent="0.25">
      <c r="A37" s="197"/>
      <c r="B37" s="198" t="s">
        <v>393</v>
      </c>
      <c r="C37" s="197" t="s">
        <v>99</v>
      </c>
      <c r="D37" s="214">
        <v>550</v>
      </c>
      <c r="G37" s="217"/>
      <c r="J37" s="218"/>
    </row>
    <row r="38" spans="1:11" ht="11.85" customHeight="1" x14ac:dyDescent="0.25">
      <c r="A38" s="197"/>
      <c r="B38" s="198" t="s">
        <v>394</v>
      </c>
      <c r="C38" s="197" t="s">
        <v>99</v>
      </c>
      <c r="D38" s="199">
        <v>30758</v>
      </c>
      <c r="G38" s="205">
        <v>16</v>
      </c>
      <c r="H38" s="206" t="s">
        <v>395</v>
      </c>
      <c r="I38" s="209">
        <v>7.13</v>
      </c>
      <c r="J38" s="207">
        <v>28434427</v>
      </c>
    </row>
    <row r="39" spans="1:11" ht="11.85" customHeight="1" x14ac:dyDescent="0.25">
      <c r="A39" s="197"/>
      <c r="B39" s="198" t="s">
        <v>396</v>
      </c>
      <c r="C39" s="197" t="s">
        <v>99</v>
      </c>
      <c r="D39" s="199">
        <v>39977</v>
      </c>
      <c r="G39" s="205">
        <v>17</v>
      </c>
      <c r="H39" s="206" t="s">
        <v>397</v>
      </c>
      <c r="I39" s="209">
        <v>846.57</v>
      </c>
      <c r="J39" s="207">
        <v>3374492026.2199998</v>
      </c>
      <c r="K39" s="200">
        <f>J39-E80-E81</f>
        <v>2075182267.72</v>
      </c>
    </row>
    <row r="40" spans="1:11" ht="11.85" customHeight="1" x14ac:dyDescent="0.25">
      <c r="A40" s="197"/>
      <c r="B40" s="189" t="s">
        <v>398</v>
      </c>
      <c r="C40" s="197" t="s">
        <v>99</v>
      </c>
      <c r="D40" s="190">
        <v>5002578</v>
      </c>
      <c r="E40" s="200">
        <f>K39+J41+J38</f>
        <v>5002578033.9200001</v>
      </c>
      <c r="G40" s="205">
        <v>18</v>
      </c>
      <c r="H40" s="206" t="s">
        <v>399</v>
      </c>
      <c r="I40" s="209">
        <v>264</v>
      </c>
      <c r="J40" s="207">
        <v>1052330899.3099999</v>
      </c>
    </row>
    <row r="41" spans="1:11" ht="11.85" customHeight="1" x14ac:dyDescent="0.25">
      <c r="A41" s="197"/>
      <c r="B41" s="211" t="s">
        <v>360</v>
      </c>
      <c r="C41" s="197"/>
      <c r="D41" s="197"/>
      <c r="G41" s="219">
        <v>19</v>
      </c>
      <c r="H41" s="206" t="s">
        <v>400</v>
      </c>
      <c r="I41" s="209">
        <v>727.27</v>
      </c>
      <c r="J41" s="207">
        <v>2898961339.1999998</v>
      </c>
    </row>
    <row r="42" spans="1:11" ht="11.85" customHeight="1" x14ac:dyDescent="0.25">
      <c r="A42" s="197"/>
      <c r="B42" s="198" t="s">
        <v>401</v>
      </c>
      <c r="C42" s="197" t="s">
        <v>99</v>
      </c>
      <c r="D42" s="199">
        <v>1053135</v>
      </c>
      <c r="G42" s="212">
        <v>20</v>
      </c>
      <c r="H42" s="206" t="s">
        <v>402</v>
      </c>
      <c r="I42" s="209">
        <v>853.64</v>
      </c>
      <c r="J42" s="207">
        <v>3402682064.1300001</v>
      </c>
    </row>
    <row r="43" spans="1:11" ht="11.85" customHeight="1" x14ac:dyDescent="0.25">
      <c r="A43" s="197"/>
      <c r="B43" s="198" t="s">
        <v>403</v>
      </c>
      <c r="C43" s="197" t="s">
        <v>99</v>
      </c>
      <c r="D43" s="199">
        <v>256267</v>
      </c>
      <c r="G43" s="213" t="s">
        <v>404</v>
      </c>
      <c r="H43" s="215" t="s">
        <v>405</v>
      </c>
      <c r="I43" s="216">
        <v>11488.96</v>
      </c>
      <c r="J43" s="216">
        <v>45795680274.690002</v>
      </c>
    </row>
    <row r="44" spans="1:11" ht="11.85" customHeight="1" x14ac:dyDescent="0.25">
      <c r="A44" s="197"/>
      <c r="B44" s="198" t="s">
        <v>406</v>
      </c>
      <c r="C44" s="197" t="s">
        <v>99</v>
      </c>
      <c r="D44" s="199">
        <v>111486</v>
      </c>
      <c r="G44" s="217"/>
      <c r="J44" s="220"/>
    </row>
    <row r="45" spans="1:11" ht="11.85" customHeight="1" x14ac:dyDescent="0.25">
      <c r="A45" s="197"/>
      <c r="B45" s="198" t="s">
        <v>407</v>
      </c>
      <c r="C45" s="197" t="s">
        <v>99</v>
      </c>
      <c r="D45" s="199">
        <v>28434</v>
      </c>
      <c r="G45" s="212">
        <v>21</v>
      </c>
      <c r="H45" s="206" t="s">
        <v>408</v>
      </c>
      <c r="I45" s="209">
        <v>382.67</v>
      </c>
      <c r="J45" s="207">
        <v>1525332305.3</v>
      </c>
      <c r="K45" s="200">
        <f>J45+J46+J47+J48</f>
        <v>1745960944.1199999</v>
      </c>
    </row>
    <row r="46" spans="1:11" ht="11.85" customHeight="1" x14ac:dyDescent="0.25">
      <c r="A46" s="197"/>
      <c r="B46" s="198" t="s">
        <v>409</v>
      </c>
      <c r="C46" s="197" t="s">
        <v>99</v>
      </c>
      <c r="D46" s="199">
        <v>192761</v>
      </c>
      <c r="G46" s="212">
        <v>22</v>
      </c>
      <c r="H46" s="206" t="s">
        <v>410</v>
      </c>
      <c r="I46" s="209">
        <v>9.99</v>
      </c>
      <c r="J46" s="207">
        <v>39809837.359999999</v>
      </c>
    </row>
    <row r="47" spans="1:11" ht="11.85" customHeight="1" x14ac:dyDescent="0.25">
      <c r="A47" s="197"/>
      <c r="B47" s="198" t="s">
        <v>411</v>
      </c>
      <c r="C47" s="197" t="s">
        <v>99</v>
      </c>
      <c r="D47" s="199">
        <v>78421</v>
      </c>
      <c r="G47" s="212">
        <v>23</v>
      </c>
      <c r="H47" s="206" t="s">
        <v>412</v>
      </c>
      <c r="I47" s="209">
        <v>20.49</v>
      </c>
      <c r="J47" s="207">
        <v>81691466.709999993</v>
      </c>
    </row>
    <row r="48" spans="1:11" ht="11.85" customHeight="1" x14ac:dyDescent="0.25">
      <c r="A48" s="197"/>
      <c r="B48" s="198" t="s">
        <v>413</v>
      </c>
      <c r="C48" s="197" t="s">
        <v>99</v>
      </c>
      <c r="D48" s="199">
        <v>188487</v>
      </c>
      <c r="G48" s="212">
        <v>24</v>
      </c>
      <c r="H48" s="206" t="s">
        <v>414</v>
      </c>
      <c r="I48" s="209">
        <v>24.87</v>
      </c>
      <c r="J48" s="207">
        <v>99127334.75</v>
      </c>
    </row>
    <row r="49" spans="1:10" ht="11.85" customHeight="1" x14ac:dyDescent="0.25">
      <c r="A49" s="197"/>
      <c r="B49" s="198" t="s">
        <v>415</v>
      </c>
      <c r="C49" s="197" t="s">
        <v>99</v>
      </c>
      <c r="D49" s="199">
        <v>5588</v>
      </c>
      <c r="G49" s="212">
        <v>25</v>
      </c>
      <c r="H49" s="206" t="s">
        <v>416</v>
      </c>
      <c r="I49" s="210"/>
      <c r="J49" s="210"/>
    </row>
    <row r="50" spans="1:10" ht="11.85" customHeight="1" x14ac:dyDescent="0.25">
      <c r="A50" s="197"/>
      <c r="B50" s="198" t="s">
        <v>417</v>
      </c>
      <c r="C50" s="197" t="s">
        <v>99</v>
      </c>
      <c r="D50" s="197"/>
      <c r="G50" s="212">
        <v>26</v>
      </c>
      <c r="H50" s="206" t="s">
        <v>418</v>
      </c>
      <c r="I50" s="209">
        <v>584.72</v>
      </c>
      <c r="J50" s="207">
        <v>2330718700.9299998</v>
      </c>
    </row>
    <row r="51" spans="1:10" ht="11.85" customHeight="1" x14ac:dyDescent="0.25">
      <c r="A51" s="197"/>
      <c r="B51" s="198" t="s">
        <v>419</v>
      </c>
      <c r="C51" s="197" t="s">
        <v>99</v>
      </c>
      <c r="D51" s="197"/>
      <c r="G51" s="213" t="s">
        <v>420</v>
      </c>
      <c r="H51" s="215" t="s">
        <v>421</v>
      </c>
      <c r="I51" s="216">
        <v>12511.7</v>
      </c>
      <c r="J51" s="216">
        <v>49872359919.739998</v>
      </c>
    </row>
    <row r="52" spans="1:10" ht="11.85" customHeight="1" x14ac:dyDescent="0.25">
      <c r="A52" s="197"/>
      <c r="B52" s="198" t="s">
        <v>422</v>
      </c>
      <c r="C52" s="197" t="s">
        <v>99</v>
      </c>
      <c r="D52" s="199">
        <v>174860</v>
      </c>
      <c r="G52" s="213"/>
      <c r="H52" s="221"/>
      <c r="I52" s="210"/>
      <c r="J52" s="210"/>
    </row>
    <row r="53" spans="1:10" ht="11.85" customHeight="1" x14ac:dyDescent="0.25">
      <c r="A53" s="197"/>
      <c r="B53" s="198" t="s">
        <v>423</v>
      </c>
      <c r="C53" s="197" t="s">
        <v>99</v>
      </c>
      <c r="D53" s="199">
        <v>389633</v>
      </c>
      <c r="G53" s="213"/>
      <c r="H53" s="221" t="s">
        <v>424</v>
      </c>
      <c r="I53" s="209">
        <v>704.07</v>
      </c>
      <c r="J53" s="207">
        <v>2806455666.5</v>
      </c>
    </row>
    <row r="54" spans="1:10" ht="22.35" customHeight="1" x14ac:dyDescent="0.25">
      <c r="A54" s="197"/>
      <c r="B54" s="198" t="s">
        <v>425</v>
      </c>
      <c r="C54" s="197" t="s">
        <v>99</v>
      </c>
      <c r="D54" s="199">
        <v>134929</v>
      </c>
      <c r="G54" s="222"/>
    </row>
    <row r="55" spans="1:10" ht="11.85" customHeight="1" x14ac:dyDescent="0.25">
      <c r="A55" s="197"/>
      <c r="B55" s="198" t="s">
        <v>426</v>
      </c>
      <c r="C55" s="197" t="s">
        <v>99</v>
      </c>
      <c r="D55" s="199">
        <v>2075182</v>
      </c>
      <c r="G55" s="223"/>
      <c r="H55" s="222" t="s">
        <v>427</v>
      </c>
    </row>
    <row r="56" spans="1:10" ht="11.85" customHeight="1" thickBot="1" x14ac:dyDescent="0.3">
      <c r="A56" s="197"/>
      <c r="B56" s="198" t="s">
        <v>428</v>
      </c>
      <c r="C56" s="197" t="s">
        <v>99</v>
      </c>
      <c r="D56" s="199">
        <v>52644</v>
      </c>
      <c r="G56" s="224"/>
    </row>
    <row r="57" spans="1:10" ht="11.85" customHeight="1" x14ac:dyDescent="0.25">
      <c r="A57" s="197"/>
      <c r="B57" s="198" t="s">
        <v>429</v>
      </c>
      <c r="C57" s="197" t="s">
        <v>99</v>
      </c>
      <c r="D57" s="199">
        <v>215934</v>
      </c>
      <c r="G57" s="225"/>
      <c r="H57" s="226"/>
      <c r="I57" s="227" t="s">
        <v>430</v>
      </c>
    </row>
    <row r="58" spans="1:10" ht="11.85" customHeight="1" x14ac:dyDescent="0.25">
      <c r="A58" s="197"/>
      <c r="B58" s="198" t="s">
        <v>431</v>
      </c>
      <c r="C58" s="197" t="s">
        <v>99</v>
      </c>
      <c r="D58" s="199">
        <v>12908</v>
      </c>
      <c r="G58" s="228"/>
      <c r="H58" s="229">
        <v>1</v>
      </c>
      <c r="I58" s="230">
        <v>3</v>
      </c>
    </row>
    <row r="59" spans="1:10" ht="11.85" customHeight="1" x14ac:dyDescent="0.25">
      <c r="A59" s="197"/>
      <c r="B59" s="198" t="s">
        <v>432</v>
      </c>
      <c r="C59" s="197" t="s">
        <v>99</v>
      </c>
      <c r="D59" s="199">
        <v>31908</v>
      </c>
      <c r="G59" s="228"/>
      <c r="H59" s="231" t="s">
        <v>433</v>
      </c>
      <c r="I59" s="232">
        <v>1097884055</v>
      </c>
    </row>
    <row r="60" spans="1:10" ht="11.85" customHeight="1" x14ac:dyDescent="0.25">
      <c r="A60" s="233"/>
      <c r="B60" s="198" t="s">
        <v>26</v>
      </c>
      <c r="C60" s="197" t="s">
        <v>99</v>
      </c>
      <c r="D60" s="214">
        <v>862</v>
      </c>
      <c r="F60" s="234">
        <f>D60+D61</f>
        <v>223091</v>
      </c>
      <c r="G60" s="228"/>
      <c r="H60" s="231" t="s">
        <v>434</v>
      </c>
      <c r="I60" s="232">
        <v>74188390.920000002</v>
      </c>
    </row>
    <row r="61" spans="1:10" ht="22.35" customHeight="1" x14ac:dyDescent="0.25">
      <c r="A61" s="194" t="s">
        <v>59</v>
      </c>
      <c r="B61" s="189" t="s">
        <v>21</v>
      </c>
      <c r="C61" s="197" t="s">
        <v>99</v>
      </c>
      <c r="D61" s="190">
        <v>222229</v>
      </c>
      <c r="E61" s="200">
        <f>J34</f>
        <v>223091661.25</v>
      </c>
      <c r="G61" s="228"/>
      <c r="H61" s="231" t="s">
        <v>435</v>
      </c>
      <c r="I61" s="232">
        <v>20604502.059999999</v>
      </c>
    </row>
    <row r="62" spans="1:10" ht="11.85" customHeight="1" x14ac:dyDescent="0.25">
      <c r="A62" s="197"/>
      <c r="B62" s="211" t="s">
        <v>360</v>
      </c>
      <c r="C62" s="197"/>
      <c r="D62" s="197"/>
      <c r="G62" s="228"/>
      <c r="H62" s="231" t="s">
        <v>436</v>
      </c>
      <c r="I62" s="232">
        <v>10690955.869999999</v>
      </c>
    </row>
    <row r="63" spans="1:10" ht="11.85" customHeight="1" x14ac:dyDescent="0.25">
      <c r="A63" s="197"/>
      <c r="B63" s="198" t="s">
        <v>437</v>
      </c>
      <c r="C63" s="197" t="s">
        <v>99</v>
      </c>
      <c r="D63" s="199">
        <v>3571</v>
      </c>
      <c r="G63" s="235"/>
      <c r="H63" s="231" t="s">
        <v>438</v>
      </c>
      <c r="I63" s="232">
        <v>18233901.149999999</v>
      </c>
    </row>
    <row r="64" spans="1:10" ht="11.85" customHeight="1" x14ac:dyDescent="0.25">
      <c r="A64" s="197"/>
      <c r="B64" s="198" t="s">
        <v>439</v>
      </c>
      <c r="C64" s="197" t="s">
        <v>99</v>
      </c>
      <c r="D64" s="199">
        <v>80853</v>
      </c>
      <c r="G64" s="236"/>
      <c r="H64" s="237" t="s">
        <v>440</v>
      </c>
      <c r="I64" s="238">
        <v>182125845.41</v>
      </c>
    </row>
    <row r="65" spans="1:9" ht="11.85" customHeight="1" x14ac:dyDescent="0.25">
      <c r="A65" s="197"/>
      <c r="B65" s="198" t="s">
        <v>441</v>
      </c>
      <c r="C65" s="197" t="s">
        <v>99</v>
      </c>
      <c r="D65" s="199">
        <v>57282</v>
      </c>
      <c r="G65" s="228"/>
      <c r="H65" s="239" t="s">
        <v>442</v>
      </c>
      <c r="I65" s="240"/>
    </row>
    <row r="66" spans="1:9" ht="11.85" customHeight="1" x14ac:dyDescent="0.25">
      <c r="A66" s="197"/>
      <c r="B66" s="198" t="s">
        <v>443</v>
      </c>
      <c r="C66" s="197" t="s">
        <v>99</v>
      </c>
      <c r="D66" s="199">
        <v>20223</v>
      </c>
      <c r="G66" s="228"/>
      <c r="H66" s="231" t="s">
        <v>444</v>
      </c>
      <c r="I66" s="232">
        <v>1558829.48</v>
      </c>
    </row>
    <row r="67" spans="1:9" ht="11.85" customHeight="1" x14ac:dyDescent="0.25">
      <c r="A67" s="197"/>
      <c r="B67" s="198" t="s">
        <v>445</v>
      </c>
      <c r="C67" s="197" t="s">
        <v>99</v>
      </c>
      <c r="D67" s="199">
        <v>3230</v>
      </c>
      <c r="G67" s="228"/>
      <c r="H67" s="231" t="s">
        <v>446</v>
      </c>
      <c r="I67" s="232">
        <v>81722824.129999995</v>
      </c>
    </row>
    <row r="68" spans="1:9" ht="11.85" customHeight="1" x14ac:dyDescent="0.25">
      <c r="A68" s="197"/>
      <c r="B68" s="198" t="s">
        <v>447</v>
      </c>
      <c r="C68" s="197" t="s">
        <v>99</v>
      </c>
      <c r="D68" s="214">
        <v>258</v>
      </c>
      <c r="G68" s="228"/>
      <c r="H68" s="231" t="s">
        <v>448</v>
      </c>
      <c r="I68" s="232">
        <v>6157645.4100000001</v>
      </c>
    </row>
    <row r="69" spans="1:9" ht="22.35" customHeight="1" x14ac:dyDescent="0.25">
      <c r="A69" s="197"/>
      <c r="B69" s="198" t="s">
        <v>449</v>
      </c>
      <c r="C69" s="197" t="s">
        <v>99</v>
      </c>
      <c r="D69" s="214">
        <v>271</v>
      </c>
      <c r="G69" s="228"/>
      <c r="H69" s="231" t="s">
        <v>450</v>
      </c>
      <c r="I69" s="232">
        <v>39809837.390000001</v>
      </c>
    </row>
    <row r="70" spans="1:9" ht="11.85" customHeight="1" x14ac:dyDescent="0.25">
      <c r="A70" s="197"/>
      <c r="B70" s="198" t="s">
        <v>451</v>
      </c>
      <c r="C70" s="197" t="s">
        <v>99</v>
      </c>
      <c r="D70" s="199">
        <v>13308</v>
      </c>
      <c r="G70" s="228"/>
      <c r="H70" s="231" t="s">
        <v>452</v>
      </c>
      <c r="I70" s="232">
        <v>8732322.1999999993</v>
      </c>
    </row>
    <row r="71" spans="1:9" ht="11.85" customHeight="1" x14ac:dyDescent="0.25">
      <c r="A71" s="197"/>
      <c r="B71" s="198" t="s">
        <v>453</v>
      </c>
      <c r="C71" s="197" t="s">
        <v>99</v>
      </c>
      <c r="D71" s="214">
        <v>246</v>
      </c>
      <c r="G71" s="228"/>
      <c r="H71" s="231" t="s">
        <v>454</v>
      </c>
      <c r="I71" s="232">
        <v>43055073.560000002</v>
      </c>
    </row>
    <row r="72" spans="1:9" ht="11.85" customHeight="1" x14ac:dyDescent="0.25">
      <c r="A72" s="197"/>
      <c r="B72" s="198" t="s">
        <v>455</v>
      </c>
      <c r="C72" s="197" t="s">
        <v>99</v>
      </c>
      <c r="D72" s="199">
        <v>8723</v>
      </c>
      <c r="G72" s="228"/>
      <c r="H72" s="231" t="s">
        <v>456</v>
      </c>
      <c r="I72" s="232">
        <v>140883.43</v>
      </c>
    </row>
    <row r="73" spans="1:9" ht="11.85" customHeight="1" x14ac:dyDescent="0.25">
      <c r="A73" s="197"/>
      <c r="B73" s="198" t="s">
        <v>457</v>
      </c>
      <c r="C73" s="197" t="s">
        <v>99</v>
      </c>
      <c r="D73" s="199">
        <v>23370</v>
      </c>
      <c r="G73" s="228"/>
      <c r="H73" s="231" t="s">
        <v>458</v>
      </c>
      <c r="I73" s="232">
        <v>391791.29</v>
      </c>
    </row>
    <row r="74" spans="1:9" ht="11.85" customHeight="1" x14ac:dyDescent="0.25">
      <c r="A74" s="197"/>
      <c r="B74" s="198" t="s">
        <v>459</v>
      </c>
      <c r="C74" s="197" t="s">
        <v>99</v>
      </c>
      <c r="D74" s="199">
        <v>10649</v>
      </c>
      <c r="G74" s="228"/>
      <c r="H74" s="231" t="s">
        <v>460</v>
      </c>
      <c r="I74" s="232">
        <v>556638.55000000005</v>
      </c>
    </row>
    <row r="75" spans="1:9" ht="11.85" customHeight="1" x14ac:dyDescent="0.25">
      <c r="A75" s="197"/>
      <c r="B75" s="198" t="s">
        <v>461</v>
      </c>
      <c r="C75" s="197" t="s">
        <v>99</v>
      </c>
      <c r="D75" s="214">
        <v>108</v>
      </c>
      <c r="G75" s="228"/>
      <c r="H75" s="231" t="s">
        <v>462</v>
      </c>
      <c r="I75" s="232">
        <v>14172003.029999999</v>
      </c>
    </row>
    <row r="76" spans="1:9" ht="11.85" customHeight="1" x14ac:dyDescent="0.25">
      <c r="A76" s="197"/>
      <c r="B76" s="198" t="s">
        <v>463</v>
      </c>
      <c r="C76" s="197" t="s">
        <v>99</v>
      </c>
      <c r="D76" s="214">
        <v>24</v>
      </c>
      <c r="G76" s="235"/>
      <c r="H76" s="231" t="s">
        <v>464</v>
      </c>
      <c r="I76" s="232">
        <v>1379067.88</v>
      </c>
    </row>
    <row r="77" spans="1:9" ht="11.85" customHeight="1" x14ac:dyDescent="0.25">
      <c r="A77" s="197"/>
      <c r="B77" s="198" t="s">
        <v>465</v>
      </c>
      <c r="C77" s="197" t="s">
        <v>99</v>
      </c>
      <c r="D77" s="214">
        <v>56</v>
      </c>
      <c r="G77" s="236"/>
      <c r="H77" s="237" t="s">
        <v>466</v>
      </c>
      <c r="I77" s="238">
        <v>12221788.6</v>
      </c>
    </row>
    <row r="78" spans="1:9" ht="22.35" customHeight="1" x14ac:dyDescent="0.25">
      <c r="A78" s="197"/>
      <c r="B78" s="198" t="s">
        <v>467</v>
      </c>
      <c r="C78" s="197" t="s">
        <v>99</v>
      </c>
      <c r="D78" s="214">
        <v>57</v>
      </c>
      <c r="G78" s="228"/>
      <c r="H78" s="239" t="s">
        <v>442</v>
      </c>
      <c r="I78" s="240"/>
    </row>
    <row r="79" spans="1:9" ht="11.85" customHeight="1" x14ac:dyDescent="0.25">
      <c r="A79" s="233" t="s">
        <v>468</v>
      </c>
      <c r="B79" s="198" t="s">
        <v>469</v>
      </c>
      <c r="C79" s="197" t="s">
        <v>99</v>
      </c>
      <c r="D79" s="199">
        <v>3402682</v>
      </c>
      <c r="E79" s="200">
        <f>J42</f>
        <v>3402682064.1300001</v>
      </c>
      <c r="G79" s="228"/>
      <c r="H79" s="231" t="s">
        <v>470</v>
      </c>
      <c r="I79" s="232">
        <v>7876304.7800000003</v>
      </c>
    </row>
    <row r="80" spans="1:9" ht="11.85" customHeight="1" x14ac:dyDescent="0.25">
      <c r="A80" s="233" t="s">
        <v>471</v>
      </c>
      <c r="B80" s="198" t="s">
        <v>472</v>
      </c>
      <c r="C80" s="197" t="s">
        <v>99</v>
      </c>
      <c r="D80" s="199">
        <v>947497</v>
      </c>
      <c r="E80" s="241">
        <v>947496654.66999996</v>
      </c>
      <c r="G80" s="228"/>
      <c r="H80" s="231" t="s">
        <v>473</v>
      </c>
      <c r="I80" s="232">
        <v>52439.53</v>
      </c>
    </row>
    <row r="81" spans="1:9" ht="22.35" customHeight="1" x14ac:dyDescent="0.25">
      <c r="A81" s="233" t="s">
        <v>474</v>
      </c>
      <c r="B81" s="198" t="s">
        <v>475</v>
      </c>
      <c r="C81" s="197" t="s">
        <v>99</v>
      </c>
      <c r="D81" s="199">
        <v>351813</v>
      </c>
      <c r="E81" s="241">
        <v>351813103.82999998</v>
      </c>
      <c r="G81" s="228"/>
      <c r="H81" s="231" t="s">
        <v>476</v>
      </c>
      <c r="I81" s="232">
        <v>1731700.43</v>
      </c>
    </row>
    <row r="82" spans="1:9" ht="22.35" customHeight="1" x14ac:dyDescent="0.25">
      <c r="A82" s="233" t="s">
        <v>477</v>
      </c>
      <c r="B82" s="198" t="s">
        <v>478</v>
      </c>
      <c r="C82" s="197" t="s">
        <v>99</v>
      </c>
      <c r="D82" s="199">
        <v>1052331</v>
      </c>
      <c r="E82" s="200">
        <f>J40</f>
        <v>1052330899.3099999</v>
      </c>
      <c r="G82" s="228"/>
      <c r="H82" s="231" t="s">
        <v>479</v>
      </c>
      <c r="I82" s="232">
        <v>307859.76</v>
      </c>
    </row>
    <row r="83" spans="1:9" s="244" customFormat="1" ht="11.85" customHeight="1" x14ac:dyDescent="0.25">
      <c r="A83" s="188" t="s">
        <v>23</v>
      </c>
      <c r="B83" s="189" t="s">
        <v>408</v>
      </c>
      <c r="C83" s="188" t="s">
        <v>99</v>
      </c>
      <c r="D83" s="242">
        <v>1745961</v>
      </c>
      <c r="E83" s="243">
        <f>K45</f>
        <v>1745960944.1199999</v>
      </c>
      <c r="G83" s="228"/>
      <c r="H83" s="231" t="s">
        <v>480</v>
      </c>
      <c r="I83" s="232">
        <v>2253484.14</v>
      </c>
    </row>
    <row r="84" spans="1:9" ht="11.85" customHeight="1" x14ac:dyDescent="0.25">
      <c r="A84" s="233" t="s">
        <v>106</v>
      </c>
      <c r="B84" s="189" t="s">
        <v>481</v>
      </c>
      <c r="C84" s="188" t="s">
        <v>99</v>
      </c>
      <c r="D84" s="242">
        <v>1745961</v>
      </c>
      <c r="G84" s="228"/>
      <c r="H84" s="231" t="s">
        <v>482</v>
      </c>
      <c r="I84" s="232">
        <v>14550921.949999999</v>
      </c>
    </row>
    <row r="85" spans="1:9" ht="11.85" customHeight="1" x14ac:dyDescent="0.25">
      <c r="A85" s="197" t="s">
        <v>483</v>
      </c>
      <c r="B85" s="198" t="s">
        <v>134</v>
      </c>
      <c r="C85" s="197" t="s">
        <v>99</v>
      </c>
      <c r="D85" s="245">
        <v>1097884</v>
      </c>
      <c r="E85" s="200">
        <f>I59</f>
        <v>1097884055</v>
      </c>
      <c r="G85" s="228"/>
      <c r="H85" s="231" t="s">
        <v>484</v>
      </c>
      <c r="I85" s="232">
        <v>10284356.67</v>
      </c>
    </row>
    <row r="86" spans="1:9" ht="11.85" customHeight="1" x14ac:dyDescent="0.25">
      <c r="A86" s="197" t="s">
        <v>485</v>
      </c>
      <c r="B86" s="189" t="s">
        <v>62</v>
      </c>
      <c r="C86" s="197" t="s">
        <v>99</v>
      </c>
      <c r="D86" s="242">
        <v>105484</v>
      </c>
      <c r="G86" s="228"/>
      <c r="H86" s="231" t="s">
        <v>486</v>
      </c>
      <c r="I86" s="232">
        <v>1183964.47</v>
      </c>
    </row>
    <row r="87" spans="1:9" ht="11.85" customHeight="1" x14ac:dyDescent="0.25">
      <c r="A87" s="197"/>
      <c r="B87" s="211" t="s">
        <v>360</v>
      </c>
      <c r="C87" s="197"/>
      <c r="D87" s="197"/>
      <c r="G87" s="235"/>
      <c r="H87" s="231" t="s">
        <v>487</v>
      </c>
      <c r="I87" s="232">
        <v>19639429.309999999</v>
      </c>
    </row>
    <row r="88" spans="1:9" ht="11.85" customHeight="1" x14ac:dyDescent="0.25">
      <c r="A88" s="197"/>
      <c r="B88" s="198" t="s">
        <v>488</v>
      </c>
      <c r="C88" s="197" t="s">
        <v>99</v>
      </c>
      <c r="D88" s="199">
        <v>74188</v>
      </c>
      <c r="E88" s="200">
        <f>I60</f>
        <v>74188390.920000002</v>
      </c>
      <c r="G88" s="236"/>
      <c r="H88" s="237" t="s">
        <v>489</v>
      </c>
      <c r="I88" s="238">
        <v>1210477.58</v>
      </c>
    </row>
    <row r="89" spans="1:9" ht="11.85" customHeight="1" x14ac:dyDescent="0.25">
      <c r="A89" s="197"/>
      <c r="B89" s="198" t="s">
        <v>490</v>
      </c>
      <c r="C89" s="197" t="s">
        <v>99</v>
      </c>
      <c r="D89" s="199">
        <v>20605</v>
      </c>
      <c r="E89" s="200">
        <f>I61</f>
        <v>20604502.059999999</v>
      </c>
      <c r="G89" s="228"/>
      <c r="H89" s="239" t="s">
        <v>442</v>
      </c>
      <c r="I89" s="240"/>
    </row>
    <row r="90" spans="1:9" ht="11.85" customHeight="1" x14ac:dyDescent="0.25">
      <c r="A90" s="197"/>
      <c r="B90" s="198" t="s">
        <v>491</v>
      </c>
      <c r="C90" s="197" t="s">
        <v>99</v>
      </c>
      <c r="D90" s="199">
        <v>10691</v>
      </c>
      <c r="E90" s="200">
        <f>I62</f>
        <v>10690955.869999999</v>
      </c>
      <c r="G90" s="228"/>
      <c r="H90" s="231" t="s">
        <v>492</v>
      </c>
      <c r="I90" s="232">
        <v>42597.63</v>
      </c>
    </row>
    <row r="91" spans="1:9" ht="11.85" customHeight="1" x14ac:dyDescent="0.25">
      <c r="A91" s="197" t="s">
        <v>493</v>
      </c>
      <c r="B91" s="198" t="s">
        <v>25</v>
      </c>
      <c r="C91" s="197" t="s">
        <v>99</v>
      </c>
      <c r="D91" s="245">
        <v>18234</v>
      </c>
      <c r="E91" s="200">
        <f>I63</f>
        <v>18233901.149999999</v>
      </c>
      <c r="G91" s="228"/>
      <c r="H91" s="231" t="s">
        <v>494</v>
      </c>
      <c r="I91" s="232">
        <v>396841.33</v>
      </c>
    </row>
    <row r="92" spans="1:9" ht="11.85" customHeight="1" x14ac:dyDescent="0.25">
      <c r="A92" s="197" t="s">
        <v>495</v>
      </c>
      <c r="B92" s="198" t="s">
        <v>496</v>
      </c>
      <c r="C92" s="197" t="s">
        <v>99</v>
      </c>
      <c r="D92" s="245">
        <v>182126</v>
      </c>
      <c r="E92" s="200">
        <f>I64</f>
        <v>182125845.41</v>
      </c>
      <c r="G92" s="228"/>
      <c r="H92" s="231" t="s">
        <v>497</v>
      </c>
      <c r="I92" s="232">
        <v>771038.63</v>
      </c>
    </row>
    <row r="93" spans="1:9" ht="11.85" customHeight="1" x14ac:dyDescent="0.25">
      <c r="A93" s="197" t="s">
        <v>498</v>
      </c>
      <c r="B93" s="198" t="s">
        <v>135</v>
      </c>
      <c r="C93" s="197" t="s">
        <v>99</v>
      </c>
      <c r="D93" s="245">
        <v>14172</v>
      </c>
      <c r="E93" s="200">
        <f>I75</f>
        <v>14172003.029999999</v>
      </c>
      <c r="G93" s="228"/>
      <c r="H93" s="231" t="s">
        <v>499</v>
      </c>
      <c r="I93" s="232">
        <v>99127334.819999993</v>
      </c>
    </row>
    <row r="94" spans="1:9" ht="11.85" customHeight="1" x14ac:dyDescent="0.25">
      <c r="A94" s="197" t="s">
        <v>500</v>
      </c>
      <c r="B94" s="198" t="s">
        <v>501</v>
      </c>
      <c r="C94" s="197" t="s">
        <v>99</v>
      </c>
      <c r="D94" s="245">
        <v>1379</v>
      </c>
      <c r="E94" s="200">
        <f>I76</f>
        <v>1379067.88</v>
      </c>
      <c r="G94" s="228"/>
      <c r="H94" s="231" t="s">
        <v>502</v>
      </c>
      <c r="I94" s="232">
        <v>6747576.6600000001</v>
      </c>
    </row>
    <row r="95" spans="1:9" ht="11.85" customHeight="1" x14ac:dyDescent="0.25">
      <c r="A95" s="197" t="s">
        <v>503</v>
      </c>
      <c r="B95" s="189" t="s">
        <v>27</v>
      </c>
      <c r="C95" s="197" t="s">
        <v>99</v>
      </c>
      <c r="D95" s="242">
        <v>12222</v>
      </c>
      <c r="E95" s="200"/>
      <c r="G95" s="235"/>
      <c r="H95" s="231" t="s">
        <v>504</v>
      </c>
      <c r="I95" s="232">
        <v>81691466.75</v>
      </c>
    </row>
    <row r="96" spans="1:9" ht="11.85" customHeight="1" x14ac:dyDescent="0.25">
      <c r="A96" s="197"/>
      <c r="B96" s="211" t="s">
        <v>360</v>
      </c>
      <c r="C96" s="197"/>
      <c r="D96" s="197"/>
      <c r="G96" s="236"/>
      <c r="H96" s="237" t="s">
        <v>505</v>
      </c>
      <c r="I96" s="238">
        <v>35375068.509999998</v>
      </c>
    </row>
    <row r="97" spans="1:9" ht="11.85" customHeight="1" x14ac:dyDescent="0.25">
      <c r="A97" s="197"/>
      <c r="B97" s="198" t="s">
        <v>506</v>
      </c>
      <c r="C97" s="197" t="s">
        <v>99</v>
      </c>
      <c r="D97" s="199">
        <v>7876</v>
      </c>
      <c r="E97" s="200">
        <f t="shared" ref="E97:E104" si="0">I79</f>
        <v>7876304.7800000003</v>
      </c>
      <c r="G97" s="228"/>
      <c r="H97" s="239" t="s">
        <v>442</v>
      </c>
      <c r="I97" s="240"/>
    </row>
    <row r="98" spans="1:9" ht="11.85" customHeight="1" x14ac:dyDescent="0.25">
      <c r="A98" s="197"/>
      <c r="B98" s="198" t="s">
        <v>507</v>
      </c>
      <c r="C98" s="197" t="s">
        <v>99</v>
      </c>
      <c r="D98" s="214">
        <v>52</v>
      </c>
      <c r="E98" s="200">
        <f t="shared" si="0"/>
        <v>52439.53</v>
      </c>
      <c r="G98" s="235"/>
      <c r="H98" s="231" t="s">
        <v>508</v>
      </c>
      <c r="I98" s="232">
        <v>13448.96</v>
      </c>
    </row>
    <row r="99" spans="1:9" ht="11.85" customHeight="1" x14ac:dyDescent="0.25">
      <c r="A99" s="197"/>
      <c r="B99" s="198" t="s">
        <v>509</v>
      </c>
      <c r="C99" s="197" t="s">
        <v>99</v>
      </c>
      <c r="D99" s="199">
        <v>1732</v>
      </c>
      <c r="E99" s="200">
        <f t="shared" si="0"/>
        <v>1731700.43</v>
      </c>
      <c r="G99" s="236"/>
      <c r="H99" s="237" t="s">
        <v>510</v>
      </c>
      <c r="I99" s="238">
        <v>25622027.690000001</v>
      </c>
    </row>
    <row r="100" spans="1:9" ht="11.85" customHeight="1" x14ac:dyDescent="0.25">
      <c r="A100" s="197"/>
      <c r="B100" s="198" t="s">
        <v>511</v>
      </c>
      <c r="C100" s="197" t="s">
        <v>99</v>
      </c>
      <c r="D100" s="214">
        <v>308</v>
      </c>
      <c r="E100" s="200">
        <f t="shared" si="0"/>
        <v>307859.76</v>
      </c>
      <c r="G100" s="246"/>
      <c r="H100" s="239" t="s">
        <v>442</v>
      </c>
      <c r="I100" s="240"/>
    </row>
    <row r="101" spans="1:9" ht="11.85" customHeight="1" x14ac:dyDescent="0.25">
      <c r="A101" s="197"/>
      <c r="B101" s="198" t="s">
        <v>512</v>
      </c>
      <c r="C101" s="197" t="s">
        <v>99</v>
      </c>
      <c r="D101" s="199">
        <v>2253</v>
      </c>
      <c r="E101" s="200">
        <f t="shared" si="0"/>
        <v>2253484.14</v>
      </c>
      <c r="G101" s="246"/>
      <c r="H101" s="247" t="s">
        <v>513</v>
      </c>
      <c r="I101" s="248">
        <v>6597.5</v>
      </c>
    </row>
    <row r="102" spans="1:9" ht="11.85" customHeight="1" x14ac:dyDescent="0.25">
      <c r="A102" s="197" t="s">
        <v>514</v>
      </c>
      <c r="B102" s="198" t="s">
        <v>28</v>
      </c>
      <c r="C102" s="197" t="s">
        <v>99</v>
      </c>
      <c r="D102" s="245">
        <v>14551</v>
      </c>
      <c r="E102" s="200">
        <f t="shared" si="0"/>
        <v>14550921.949999999</v>
      </c>
      <c r="G102" s="246"/>
      <c r="H102" s="247" t="s">
        <v>515</v>
      </c>
      <c r="I102" s="248">
        <v>1140134.92</v>
      </c>
    </row>
    <row r="103" spans="1:9" ht="11.85" customHeight="1" x14ac:dyDescent="0.25">
      <c r="A103" s="197" t="s">
        <v>516</v>
      </c>
      <c r="B103" s="198" t="s">
        <v>517</v>
      </c>
      <c r="C103" s="197" t="s">
        <v>99</v>
      </c>
      <c r="D103" s="245">
        <v>10284</v>
      </c>
      <c r="E103" s="200">
        <f t="shared" si="0"/>
        <v>10284356.67</v>
      </c>
      <c r="G103" s="246"/>
      <c r="H103" s="247" t="s">
        <v>518</v>
      </c>
      <c r="I103" s="248">
        <v>3900032.97</v>
      </c>
    </row>
    <row r="104" spans="1:9" ht="11.85" customHeight="1" x14ac:dyDescent="0.25">
      <c r="A104" s="197" t="s">
        <v>519</v>
      </c>
      <c r="B104" s="198" t="s">
        <v>29</v>
      </c>
      <c r="C104" s="197" t="s">
        <v>99</v>
      </c>
      <c r="D104" s="245">
        <v>1184</v>
      </c>
      <c r="E104" s="200">
        <f t="shared" si="0"/>
        <v>1183964.47</v>
      </c>
      <c r="G104" s="246"/>
      <c r="H104" s="247" t="s">
        <v>520</v>
      </c>
      <c r="I104" s="248">
        <v>18813.93</v>
      </c>
    </row>
    <row r="105" spans="1:9" ht="11.85" customHeight="1" x14ac:dyDescent="0.25">
      <c r="A105" s="197" t="s">
        <v>521</v>
      </c>
      <c r="B105" s="198" t="s">
        <v>30</v>
      </c>
      <c r="C105" s="197" t="s">
        <v>99</v>
      </c>
      <c r="D105" s="249"/>
      <c r="G105" s="246"/>
      <c r="H105" s="247" t="s">
        <v>522</v>
      </c>
      <c r="I105" s="248">
        <v>122586.5</v>
      </c>
    </row>
    <row r="106" spans="1:9" ht="11.85" customHeight="1" x14ac:dyDescent="0.25">
      <c r="A106" s="197" t="s">
        <v>523</v>
      </c>
      <c r="B106" s="198" t="s">
        <v>136</v>
      </c>
      <c r="C106" s="197" t="s">
        <v>99</v>
      </c>
      <c r="D106" s="245">
        <v>19639</v>
      </c>
      <c r="E106" s="200">
        <f>I87</f>
        <v>19639429.309999999</v>
      </c>
      <c r="G106" s="246"/>
      <c r="H106" s="247" t="s">
        <v>524</v>
      </c>
      <c r="I106" s="248">
        <v>3573261.62</v>
      </c>
    </row>
    <row r="107" spans="1:9" ht="11.85" customHeight="1" x14ac:dyDescent="0.25">
      <c r="A107" s="197" t="s">
        <v>525</v>
      </c>
      <c r="B107" s="189" t="s">
        <v>31</v>
      </c>
      <c r="C107" s="197" t="s">
        <v>99</v>
      </c>
      <c r="D107" s="242">
        <v>1210</v>
      </c>
      <c r="G107" s="246"/>
      <c r="H107" s="247" t="s">
        <v>526</v>
      </c>
      <c r="I107" s="248">
        <v>584594.54</v>
      </c>
    </row>
    <row r="108" spans="1:9" ht="11.85" customHeight="1" x14ac:dyDescent="0.25">
      <c r="A108" s="197"/>
      <c r="B108" s="211" t="s">
        <v>360</v>
      </c>
      <c r="C108" s="197"/>
      <c r="D108" s="197"/>
      <c r="G108" s="246"/>
      <c r="H108" s="247" t="s">
        <v>527</v>
      </c>
      <c r="I108" s="248">
        <v>1001561.36</v>
      </c>
    </row>
    <row r="109" spans="1:9" ht="11.85" customHeight="1" x14ac:dyDescent="0.25">
      <c r="A109" s="197"/>
      <c r="B109" s="198" t="s">
        <v>528</v>
      </c>
      <c r="C109" s="197" t="s">
        <v>99</v>
      </c>
      <c r="D109" s="214">
        <v>43</v>
      </c>
      <c r="E109" s="200">
        <f>I90</f>
        <v>42597.63</v>
      </c>
      <c r="G109" s="246"/>
      <c r="H109" s="247" t="s">
        <v>529</v>
      </c>
      <c r="I109" s="248">
        <v>2325731.7799999998</v>
      </c>
    </row>
    <row r="110" spans="1:9" ht="11.85" customHeight="1" x14ac:dyDescent="0.25">
      <c r="A110" s="197"/>
      <c r="B110" s="198" t="s">
        <v>530</v>
      </c>
      <c r="C110" s="197" t="s">
        <v>99</v>
      </c>
      <c r="D110" s="214">
        <v>397</v>
      </c>
      <c r="E110" s="200">
        <f>I91</f>
        <v>396841.33</v>
      </c>
      <c r="G110" s="246"/>
      <c r="H110" s="247" t="s">
        <v>531</v>
      </c>
      <c r="I110" s="248">
        <v>1649132.24</v>
      </c>
    </row>
    <row r="111" spans="1:9" ht="11.85" customHeight="1" x14ac:dyDescent="0.25">
      <c r="A111" s="197"/>
      <c r="B111" s="198" t="s">
        <v>532</v>
      </c>
      <c r="C111" s="197" t="s">
        <v>99</v>
      </c>
      <c r="D111" s="214">
        <v>771</v>
      </c>
      <c r="E111" s="200">
        <f>I92</f>
        <v>771038.63</v>
      </c>
      <c r="G111" s="246"/>
      <c r="H111" s="247" t="s">
        <v>533</v>
      </c>
      <c r="I111" s="248">
        <v>2201748.14</v>
      </c>
    </row>
    <row r="112" spans="1:9" ht="11.85" customHeight="1" x14ac:dyDescent="0.25">
      <c r="A112" s="197" t="s">
        <v>534</v>
      </c>
      <c r="B112" s="198" t="s">
        <v>32</v>
      </c>
      <c r="C112" s="197" t="s">
        <v>99</v>
      </c>
      <c r="D112" s="245">
        <v>99127</v>
      </c>
      <c r="E112" s="200">
        <f>I93</f>
        <v>99127334.819999993</v>
      </c>
      <c r="G112" s="246"/>
      <c r="H112" s="247" t="s">
        <v>535</v>
      </c>
      <c r="I112" s="248">
        <v>78573.22</v>
      </c>
    </row>
    <row r="113" spans="1:9" ht="11.85" customHeight="1" x14ac:dyDescent="0.25">
      <c r="A113" s="197" t="s">
        <v>536</v>
      </c>
      <c r="B113" s="198" t="s">
        <v>33</v>
      </c>
      <c r="C113" s="197" t="s">
        <v>99</v>
      </c>
      <c r="D113" s="245">
        <v>6748</v>
      </c>
      <c r="E113" s="200">
        <f>I94</f>
        <v>6747576.6600000001</v>
      </c>
      <c r="G113" s="246"/>
      <c r="H113" s="247" t="s">
        <v>537</v>
      </c>
      <c r="I113" s="248">
        <v>1824952.41</v>
      </c>
    </row>
    <row r="114" spans="1:9" ht="11.85" customHeight="1" x14ac:dyDescent="0.25">
      <c r="A114" s="197" t="s">
        <v>538</v>
      </c>
      <c r="B114" s="198" t="s">
        <v>34</v>
      </c>
      <c r="C114" s="197" t="s">
        <v>99</v>
      </c>
      <c r="D114" s="249"/>
      <c r="G114" s="246"/>
      <c r="H114" s="247" t="s">
        <v>539</v>
      </c>
      <c r="I114" s="248">
        <v>267395.49</v>
      </c>
    </row>
    <row r="115" spans="1:9" ht="11.85" customHeight="1" x14ac:dyDescent="0.25">
      <c r="A115" s="197" t="s">
        <v>540</v>
      </c>
      <c r="B115" s="198" t="s">
        <v>541</v>
      </c>
      <c r="C115" s="197" t="s">
        <v>99</v>
      </c>
      <c r="D115" s="245">
        <v>81691</v>
      </c>
      <c r="E115" s="200">
        <f>I95</f>
        <v>81691466.75</v>
      </c>
      <c r="G115" s="246"/>
      <c r="H115" s="247" t="s">
        <v>542</v>
      </c>
      <c r="I115" s="248">
        <v>194077.53</v>
      </c>
    </row>
    <row r="116" spans="1:9" ht="11.85" customHeight="1" x14ac:dyDescent="0.25">
      <c r="A116" s="197" t="s">
        <v>543</v>
      </c>
      <c r="B116" s="189" t="s">
        <v>35</v>
      </c>
      <c r="C116" s="197" t="s">
        <v>99</v>
      </c>
      <c r="D116" s="242">
        <v>35375</v>
      </c>
      <c r="G116" s="246"/>
      <c r="H116" s="247" t="s">
        <v>544</v>
      </c>
      <c r="I116" s="248">
        <v>3696.59</v>
      </c>
    </row>
    <row r="117" spans="1:9" ht="11.85" customHeight="1" x14ac:dyDescent="0.25">
      <c r="A117" s="197"/>
      <c r="B117" s="211" t="s">
        <v>360</v>
      </c>
      <c r="C117" s="197"/>
      <c r="D117" s="197"/>
      <c r="G117" s="246"/>
      <c r="H117" s="247" t="s">
        <v>545</v>
      </c>
      <c r="I117" s="248">
        <v>88552.4</v>
      </c>
    </row>
    <row r="118" spans="1:9" ht="11.85" customHeight="1" x14ac:dyDescent="0.25">
      <c r="A118" s="197"/>
      <c r="B118" s="198" t="s">
        <v>546</v>
      </c>
      <c r="C118" s="197" t="s">
        <v>99</v>
      </c>
      <c r="D118" s="214">
        <v>13</v>
      </c>
      <c r="G118" s="246"/>
      <c r="H118" s="247" t="s">
        <v>547</v>
      </c>
      <c r="I118" s="248">
        <v>509883.8</v>
      </c>
    </row>
    <row r="119" spans="1:9" ht="11.85" customHeight="1" x14ac:dyDescent="0.25">
      <c r="A119" s="197"/>
      <c r="B119" s="198" t="s">
        <v>548</v>
      </c>
      <c r="C119" s="197" t="s">
        <v>99</v>
      </c>
      <c r="D119" s="199">
        <v>25622</v>
      </c>
      <c r="G119" s="246"/>
      <c r="H119" s="247" t="s">
        <v>549</v>
      </c>
      <c r="I119" s="248">
        <v>7507.85</v>
      </c>
    </row>
    <row r="120" spans="1:9" ht="11.85" customHeight="1" x14ac:dyDescent="0.25">
      <c r="A120" s="197"/>
      <c r="B120" s="198" t="s">
        <v>550</v>
      </c>
      <c r="C120" s="197" t="s">
        <v>99</v>
      </c>
      <c r="D120" s="214">
        <v>44</v>
      </c>
      <c r="G120" s="246"/>
      <c r="H120" s="247" t="s">
        <v>551</v>
      </c>
      <c r="I120" s="248">
        <v>2360583.6</v>
      </c>
    </row>
    <row r="121" spans="1:9" ht="11.85" customHeight="1" x14ac:dyDescent="0.25">
      <c r="A121" s="197"/>
      <c r="B121" s="198" t="s">
        <v>552</v>
      </c>
      <c r="C121" s="197" t="s">
        <v>99</v>
      </c>
      <c r="D121" s="199">
        <v>3264</v>
      </c>
      <c r="G121" s="228"/>
      <c r="H121" s="247" t="s">
        <v>553</v>
      </c>
      <c r="I121" s="248">
        <v>3762609.26</v>
      </c>
    </row>
    <row r="122" spans="1:9" ht="11.85" customHeight="1" x14ac:dyDescent="0.25">
      <c r="A122" s="197"/>
      <c r="B122" s="198" t="s">
        <v>554</v>
      </c>
      <c r="C122" s="197" t="s">
        <v>99</v>
      </c>
      <c r="D122" s="197"/>
      <c r="G122" s="228"/>
      <c r="H122" s="231" t="s">
        <v>555</v>
      </c>
      <c r="I122" s="232">
        <v>44306.3</v>
      </c>
    </row>
    <row r="123" spans="1:9" ht="11.85" customHeight="1" x14ac:dyDescent="0.25">
      <c r="A123" s="197"/>
      <c r="B123" s="198" t="s">
        <v>556</v>
      </c>
      <c r="C123" s="197" t="s">
        <v>99</v>
      </c>
      <c r="D123" s="214">
        <v>762</v>
      </c>
      <c r="G123" s="228"/>
      <c r="H123" s="231" t="s">
        <v>557</v>
      </c>
      <c r="I123" s="232">
        <v>3263828.07</v>
      </c>
    </row>
    <row r="124" spans="1:9" ht="11.85" customHeight="1" x14ac:dyDescent="0.25">
      <c r="A124" s="197"/>
      <c r="B124" s="198" t="s">
        <v>558</v>
      </c>
      <c r="C124" s="197" t="s">
        <v>99</v>
      </c>
      <c r="D124" s="214">
        <v>19</v>
      </c>
      <c r="G124" s="228"/>
      <c r="H124" s="231" t="s">
        <v>559</v>
      </c>
      <c r="I124" s="232">
        <v>762016.74</v>
      </c>
    </row>
    <row r="125" spans="1:9" ht="11.85" customHeight="1" x14ac:dyDescent="0.25">
      <c r="A125" s="197"/>
      <c r="B125" s="198" t="s">
        <v>560</v>
      </c>
      <c r="C125" s="197" t="s">
        <v>99</v>
      </c>
      <c r="D125" s="197"/>
      <c r="G125" s="228"/>
      <c r="H125" s="231" t="s">
        <v>561</v>
      </c>
      <c r="I125" s="232">
        <v>18855.150000000001</v>
      </c>
    </row>
    <row r="126" spans="1:9" ht="11.85" customHeight="1" x14ac:dyDescent="0.25">
      <c r="A126" s="197"/>
      <c r="B126" s="198" t="s">
        <v>562</v>
      </c>
      <c r="C126" s="197" t="s">
        <v>99</v>
      </c>
      <c r="D126" s="199">
        <v>2258</v>
      </c>
      <c r="G126" s="228"/>
      <c r="H126" s="231" t="s">
        <v>563</v>
      </c>
      <c r="I126" s="232">
        <v>2257551.86</v>
      </c>
    </row>
    <row r="127" spans="1:9" ht="11.85" customHeight="1" x14ac:dyDescent="0.25">
      <c r="A127" s="197"/>
      <c r="B127" s="198" t="s">
        <v>564</v>
      </c>
      <c r="C127" s="197" t="s">
        <v>99</v>
      </c>
      <c r="D127" s="199">
        <v>3375</v>
      </c>
      <c r="G127" s="228"/>
      <c r="H127" s="231" t="s">
        <v>565</v>
      </c>
      <c r="I127" s="232">
        <v>3374504.7</v>
      </c>
    </row>
    <row r="128" spans="1:9" ht="11.85" customHeight="1" x14ac:dyDescent="0.25">
      <c r="A128" s="197"/>
      <c r="B128" s="198" t="s">
        <v>566</v>
      </c>
      <c r="C128" s="197" t="s">
        <v>99</v>
      </c>
      <c r="D128" s="214">
        <v>-7</v>
      </c>
      <c r="G128" s="235"/>
      <c r="H128" s="231" t="s">
        <v>567</v>
      </c>
      <c r="I128" s="232">
        <v>23999415.489999998</v>
      </c>
    </row>
    <row r="129" spans="1:9" ht="11.85" customHeight="1" x14ac:dyDescent="0.25">
      <c r="A129" s="197"/>
      <c r="B129" s="198" t="s">
        <v>568</v>
      </c>
      <c r="C129" s="197" t="s">
        <v>99</v>
      </c>
      <c r="D129" s="214">
        <v>25</v>
      </c>
      <c r="G129" s="236"/>
      <c r="H129" s="237" t="s">
        <v>569</v>
      </c>
      <c r="I129" s="238">
        <v>20650422.890000001</v>
      </c>
    </row>
    <row r="130" spans="1:9" ht="11.85" customHeight="1" x14ac:dyDescent="0.25">
      <c r="A130" s="197" t="s">
        <v>570</v>
      </c>
      <c r="B130" s="198" t="s">
        <v>36</v>
      </c>
      <c r="C130" s="197" t="s">
        <v>99</v>
      </c>
      <c r="D130" s="245">
        <v>23999</v>
      </c>
      <c r="E130" s="200">
        <f>I128</f>
        <v>23999415.489999998</v>
      </c>
      <c r="G130" s="228"/>
      <c r="H130" s="239" t="s">
        <v>442</v>
      </c>
      <c r="I130" s="240"/>
    </row>
    <row r="131" spans="1:9" ht="11.85" customHeight="1" x14ac:dyDescent="0.25">
      <c r="A131" s="197" t="s">
        <v>571</v>
      </c>
      <c r="B131" s="198" t="s">
        <v>37</v>
      </c>
      <c r="C131" s="197" t="s">
        <v>99</v>
      </c>
      <c r="D131" s="245">
        <v>20650</v>
      </c>
      <c r="G131" s="228"/>
      <c r="H131" s="231" t="s">
        <v>572</v>
      </c>
      <c r="I131" s="232">
        <v>4992712.18</v>
      </c>
    </row>
    <row r="132" spans="1:9" ht="11.85" customHeight="1" x14ac:dyDescent="0.25">
      <c r="A132" s="197"/>
      <c r="B132" s="211" t="s">
        <v>360</v>
      </c>
      <c r="C132" s="197"/>
      <c r="D132" s="197"/>
      <c r="G132" s="250"/>
      <c r="H132" s="231" t="s">
        <v>573</v>
      </c>
      <c r="I132" s="232">
        <v>15657710.710000001</v>
      </c>
    </row>
    <row r="133" spans="1:9" ht="11.85" customHeight="1" thickBot="1" x14ac:dyDescent="0.3">
      <c r="A133" s="197"/>
      <c r="B133" s="198" t="s">
        <v>574</v>
      </c>
      <c r="C133" s="197" t="s">
        <v>99</v>
      </c>
      <c r="D133" s="199">
        <v>4993</v>
      </c>
      <c r="E133" s="200">
        <f>I131</f>
        <v>4992712.18</v>
      </c>
      <c r="G133" s="223"/>
      <c r="H133" s="251" t="s">
        <v>575</v>
      </c>
      <c r="I133" s="252">
        <v>1745960945.05</v>
      </c>
    </row>
    <row r="134" spans="1:9" ht="11.85" customHeight="1" x14ac:dyDescent="0.25">
      <c r="A134" s="197"/>
      <c r="B134" s="198" t="s">
        <v>576</v>
      </c>
      <c r="C134" s="197" t="s">
        <v>99</v>
      </c>
      <c r="D134" s="199">
        <v>15658</v>
      </c>
      <c r="E134" s="200">
        <f>I132</f>
        <v>15657710.710000001</v>
      </c>
      <c r="G134" s="223"/>
    </row>
    <row r="135" spans="1:9" ht="11.85" customHeight="1" x14ac:dyDescent="0.25">
      <c r="A135" s="233" t="s">
        <v>47</v>
      </c>
      <c r="B135" s="189" t="s">
        <v>416</v>
      </c>
      <c r="C135" s="188" t="s">
        <v>99</v>
      </c>
      <c r="D135" s="253"/>
    </row>
    <row r="136" spans="1:9" ht="11.85" customHeight="1" x14ac:dyDescent="0.25">
      <c r="A136" s="197" t="s">
        <v>577</v>
      </c>
      <c r="B136" s="198" t="s">
        <v>134</v>
      </c>
      <c r="C136" s="197" t="s">
        <v>99</v>
      </c>
      <c r="D136" s="249"/>
    </row>
    <row r="137" spans="1:9" ht="11.85" customHeight="1" x14ac:dyDescent="0.25">
      <c r="A137" s="197" t="s">
        <v>578</v>
      </c>
      <c r="B137" s="189" t="s">
        <v>62</v>
      </c>
      <c r="C137" s="197" t="s">
        <v>99</v>
      </c>
      <c r="D137" s="253"/>
    </row>
    <row r="138" spans="1:9" ht="11.85" customHeight="1" x14ac:dyDescent="0.25">
      <c r="A138" s="197"/>
      <c r="B138" s="211" t="s">
        <v>360</v>
      </c>
      <c r="C138" s="197"/>
      <c r="D138" s="197"/>
    </row>
    <row r="139" spans="1:9" ht="11.85" customHeight="1" x14ac:dyDescent="0.25">
      <c r="A139" s="197"/>
      <c r="B139" s="198" t="s">
        <v>488</v>
      </c>
      <c r="C139" s="197" t="s">
        <v>99</v>
      </c>
      <c r="D139" s="197"/>
    </row>
    <row r="140" spans="1:9" ht="11.85" customHeight="1" x14ac:dyDescent="0.25">
      <c r="A140" s="197"/>
      <c r="B140" s="198" t="s">
        <v>490</v>
      </c>
      <c r="C140" s="197" t="s">
        <v>99</v>
      </c>
      <c r="D140" s="197"/>
    </row>
    <row r="141" spans="1:9" ht="11.85" customHeight="1" x14ac:dyDescent="0.25">
      <c r="A141" s="197"/>
      <c r="B141" s="198" t="s">
        <v>491</v>
      </c>
      <c r="C141" s="197" t="s">
        <v>99</v>
      </c>
      <c r="D141" s="197"/>
    </row>
    <row r="142" spans="1:9" ht="11.85" customHeight="1" x14ac:dyDescent="0.25">
      <c r="A142" s="197" t="s">
        <v>579</v>
      </c>
      <c r="B142" s="198" t="s">
        <v>137</v>
      </c>
      <c r="C142" s="197" t="s">
        <v>99</v>
      </c>
      <c r="D142" s="249"/>
    </row>
    <row r="143" spans="1:9" ht="11.85" customHeight="1" x14ac:dyDescent="0.25">
      <c r="A143" s="197" t="s">
        <v>580</v>
      </c>
      <c r="B143" s="198" t="s">
        <v>25</v>
      </c>
      <c r="C143" s="197" t="s">
        <v>99</v>
      </c>
      <c r="D143" s="249"/>
    </row>
    <row r="144" spans="1:9" ht="11.85" customHeight="1" x14ac:dyDescent="0.25">
      <c r="A144" s="197" t="s">
        <v>581</v>
      </c>
      <c r="B144" s="198" t="s">
        <v>582</v>
      </c>
      <c r="C144" s="197" t="s">
        <v>99</v>
      </c>
      <c r="D144" s="249"/>
    </row>
    <row r="145" spans="1:4" ht="22.35" customHeight="1" x14ac:dyDescent="0.25">
      <c r="A145" s="197" t="s">
        <v>583</v>
      </c>
      <c r="B145" s="198" t="s">
        <v>584</v>
      </c>
      <c r="C145" s="197" t="s">
        <v>99</v>
      </c>
      <c r="D145" s="249"/>
    </row>
    <row r="146" spans="1:4" ht="11.85" customHeight="1" x14ac:dyDescent="0.25">
      <c r="A146" s="197" t="s">
        <v>585</v>
      </c>
      <c r="B146" s="198" t="s">
        <v>138</v>
      </c>
      <c r="C146" s="197" t="s">
        <v>99</v>
      </c>
      <c r="D146" s="249"/>
    </row>
    <row r="147" spans="1:4" ht="11.85" customHeight="1" x14ac:dyDescent="0.25">
      <c r="A147" s="197" t="s">
        <v>586</v>
      </c>
      <c r="B147" s="198" t="s">
        <v>587</v>
      </c>
      <c r="C147" s="197" t="s">
        <v>99</v>
      </c>
      <c r="D147" s="249"/>
    </row>
    <row r="148" spans="1:4" ht="11.85" customHeight="1" x14ac:dyDescent="0.25">
      <c r="A148" s="197" t="s">
        <v>588</v>
      </c>
      <c r="B148" s="189" t="s">
        <v>589</v>
      </c>
      <c r="C148" s="197" t="s">
        <v>99</v>
      </c>
      <c r="D148" s="253"/>
    </row>
    <row r="149" spans="1:4" ht="11.85" customHeight="1" x14ac:dyDescent="0.25">
      <c r="A149" s="197"/>
      <c r="B149" s="211" t="s">
        <v>360</v>
      </c>
      <c r="C149" s="197"/>
      <c r="D149" s="197"/>
    </row>
    <row r="150" spans="1:4" ht="11.85" customHeight="1" x14ac:dyDescent="0.25">
      <c r="A150" s="197"/>
      <c r="B150" s="198" t="s">
        <v>506</v>
      </c>
      <c r="C150" s="197" t="s">
        <v>99</v>
      </c>
      <c r="D150" s="197"/>
    </row>
    <row r="151" spans="1:4" ht="11.85" customHeight="1" x14ac:dyDescent="0.25">
      <c r="A151" s="197"/>
      <c r="B151" s="198" t="s">
        <v>507</v>
      </c>
      <c r="C151" s="197" t="s">
        <v>99</v>
      </c>
      <c r="D151" s="197"/>
    </row>
    <row r="152" spans="1:4" ht="11.85" customHeight="1" x14ac:dyDescent="0.25">
      <c r="A152" s="197"/>
      <c r="B152" s="198" t="s">
        <v>509</v>
      </c>
      <c r="C152" s="197" t="s">
        <v>99</v>
      </c>
      <c r="D152" s="197"/>
    </row>
    <row r="153" spans="1:4" ht="11.85" customHeight="1" x14ac:dyDescent="0.25">
      <c r="A153" s="197"/>
      <c r="B153" s="198" t="s">
        <v>511</v>
      </c>
      <c r="C153" s="197" t="s">
        <v>99</v>
      </c>
      <c r="D153" s="197"/>
    </row>
    <row r="154" spans="1:4" ht="11.85" customHeight="1" x14ac:dyDescent="0.25">
      <c r="A154" s="197"/>
      <c r="B154" s="198" t="s">
        <v>512</v>
      </c>
      <c r="C154" s="197" t="s">
        <v>99</v>
      </c>
      <c r="D154" s="197"/>
    </row>
    <row r="155" spans="1:4" ht="11.85" customHeight="1" x14ac:dyDescent="0.25">
      <c r="A155" s="197" t="s">
        <v>590</v>
      </c>
      <c r="B155" s="189" t="s">
        <v>591</v>
      </c>
      <c r="C155" s="197" t="s">
        <v>99</v>
      </c>
      <c r="D155" s="253"/>
    </row>
    <row r="156" spans="1:4" ht="11.85" customHeight="1" x14ac:dyDescent="0.25">
      <c r="A156" s="197"/>
      <c r="B156" s="211" t="s">
        <v>360</v>
      </c>
      <c r="C156" s="197"/>
      <c r="D156" s="197"/>
    </row>
    <row r="157" spans="1:4" ht="11.85" customHeight="1" x14ac:dyDescent="0.25">
      <c r="A157" s="197"/>
      <c r="B157" s="198" t="s">
        <v>528</v>
      </c>
      <c r="C157" s="197" t="s">
        <v>99</v>
      </c>
      <c r="D157" s="197"/>
    </row>
    <row r="158" spans="1:4" ht="11.85" customHeight="1" x14ac:dyDescent="0.25">
      <c r="A158" s="197"/>
      <c r="B158" s="198" t="s">
        <v>530</v>
      </c>
      <c r="C158" s="197" t="s">
        <v>99</v>
      </c>
      <c r="D158" s="197"/>
    </row>
    <row r="159" spans="1:4" ht="11.85" customHeight="1" x14ac:dyDescent="0.25">
      <c r="A159" s="197"/>
      <c r="B159" s="198" t="s">
        <v>532</v>
      </c>
      <c r="C159" s="197" t="s">
        <v>99</v>
      </c>
      <c r="D159" s="197"/>
    </row>
    <row r="160" spans="1:4" ht="11.85" customHeight="1" x14ac:dyDescent="0.25">
      <c r="A160" s="197"/>
      <c r="B160" s="198" t="s">
        <v>592</v>
      </c>
      <c r="C160" s="197" t="s">
        <v>99</v>
      </c>
      <c r="D160" s="197"/>
    </row>
    <row r="161" spans="1:9" ht="11.85" customHeight="1" x14ac:dyDescent="0.25">
      <c r="A161" s="197" t="s">
        <v>593</v>
      </c>
      <c r="B161" s="198" t="s">
        <v>594</v>
      </c>
      <c r="C161" s="197" t="s">
        <v>99</v>
      </c>
      <c r="D161" s="249"/>
    </row>
    <row r="162" spans="1:9" ht="11.85" customHeight="1" x14ac:dyDescent="0.25">
      <c r="A162" s="197" t="s">
        <v>595</v>
      </c>
      <c r="B162" s="198" t="s">
        <v>596</v>
      </c>
      <c r="C162" s="197" t="s">
        <v>99</v>
      </c>
      <c r="D162" s="249"/>
    </row>
    <row r="163" spans="1:9" ht="11.85" customHeight="1" x14ac:dyDescent="0.25">
      <c r="A163" s="197" t="s">
        <v>597</v>
      </c>
      <c r="B163" s="198" t="s">
        <v>598</v>
      </c>
      <c r="C163" s="197" t="s">
        <v>99</v>
      </c>
      <c r="D163" s="249"/>
    </row>
    <row r="164" spans="1:9" ht="11.85" customHeight="1" x14ac:dyDescent="0.25">
      <c r="A164" s="197" t="s">
        <v>599</v>
      </c>
      <c r="B164" s="198" t="s">
        <v>600</v>
      </c>
      <c r="C164" s="197" t="s">
        <v>99</v>
      </c>
      <c r="D164" s="249"/>
    </row>
    <row r="165" spans="1:9" ht="11.85" customHeight="1" x14ac:dyDescent="0.25">
      <c r="A165" s="197" t="s">
        <v>601</v>
      </c>
      <c r="B165" s="198" t="s">
        <v>602</v>
      </c>
      <c r="C165" s="197" t="s">
        <v>99</v>
      </c>
      <c r="D165" s="249"/>
    </row>
    <row r="166" spans="1:9" ht="11.85" customHeight="1" x14ac:dyDescent="0.25">
      <c r="A166" s="197" t="s">
        <v>603</v>
      </c>
      <c r="B166" s="198" t="s">
        <v>604</v>
      </c>
      <c r="C166" s="197" t="s">
        <v>99</v>
      </c>
      <c r="D166" s="249"/>
    </row>
    <row r="167" spans="1:9" s="244" customFormat="1" ht="11.85" customHeight="1" x14ac:dyDescent="0.2">
      <c r="A167" s="188" t="s">
        <v>39</v>
      </c>
      <c r="B167" s="189" t="s">
        <v>418</v>
      </c>
      <c r="C167" s="188" t="s">
        <v>99</v>
      </c>
      <c r="D167" s="242">
        <v>2330719</v>
      </c>
      <c r="I167" s="254"/>
    </row>
    <row r="168" spans="1:9" ht="22.35" customHeight="1" x14ac:dyDescent="0.25">
      <c r="A168" s="194" t="s">
        <v>139</v>
      </c>
      <c r="B168" s="189" t="s">
        <v>605</v>
      </c>
      <c r="C168" s="188" t="s">
        <v>99</v>
      </c>
      <c r="D168" s="242">
        <v>80074</v>
      </c>
      <c r="H168" s="255" t="s">
        <v>606</v>
      </c>
      <c r="I168" s="256">
        <v>65514554</v>
      </c>
    </row>
    <row r="169" spans="1:9" ht="11.85" customHeight="1" x14ac:dyDescent="0.25">
      <c r="A169" s="197" t="s">
        <v>607</v>
      </c>
      <c r="B169" s="198" t="s">
        <v>608</v>
      </c>
      <c r="C169" s="197" t="s">
        <v>99</v>
      </c>
      <c r="D169" s="245">
        <v>65515</v>
      </c>
      <c r="E169" s="257">
        <f>I168</f>
        <v>65514554</v>
      </c>
      <c r="H169" s="255" t="s">
        <v>609</v>
      </c>
      <c r="I169" s="256">
        <v>5439878.4699999997</v>
      </c>
    </row>
    <row r="170" spans="1:9" ht="11.85" customHeight="1" x14ac:dyDescent="0.25">
      <c r="A170" s="197" t="s">
        <v>610</v>
      </c>
      <c r="B170" s="198" t="s">
        <v>611</v>
      </c>
      <c r="C170" s="197" t="s">
        <v>99</v>
      </c>
      <c r="D170" s="249"/>
      <c r="H170" s="255" t="s">
        <v>612</v>
      </c>
      <c r="I170" s="256">
        <v>2261617757.3499999</v>
      </c>
    </row>
    <row r="171" spans="1:9" ht="11.85" customHeight="1" x14ac:dyDescent="0.25">
      <c r="A171" s="197" t="s">
        <v>613</v>
      </c>
      <c r="B171" s="198" t="s">
        <v>614</v>
      </c>
      <c r="C171" s="197" t="s">
        <v>99</v>
      </c>
      <c r="D171" s="249"/>
      <c r="H171" s="255" t="s">
        <v>615</v>
      </c>
      <c r="I171" s="256">
        <v>-10973496</v>
      </c>
    </row>
    <row r="172" spans="1:9" ht="11.85" customHeight="1" x14ac:dyDescent="0.25">
      <c r="A172" s="197" t="s">
        <v>616</v>
      </c>
      <c r="B172" s="198" t="s">
        <v>617</v>
      </c>
      <c r="C172" s="197" t="s">
        <v>99</v>
      </c>
      <c r="D172" s="245">
        <v>7304</v>
      </c>
      <c r="E172" s="257">
        <f>I175</f>
        <v>7304410</v>
      </c>
      <c r="H172" s="255" t="s">
        <v>618</v>
      </c>
      <c r="I172" s="256">
        <v>1095927.6000000001</v>
      </c>
    </row>
    <row r="173" spans="1:9" ht="11.85" customHeight="1" x14ac:dyDescent="0.25">
      <c r="A173" s="197" t="s">
        <v>619</v>
      </c>
      <c r="B173" s="198" t="s">
        <v>620</v>
      </c>
      <c r="C173" s="197" t="s">
        <v>99</v>
      </c>
      <c r="D173" s="249"/>
      <c r="H173" s="255" t="s">
        <v>621</v>
      </c>
      <c r="I173" s="256">
        <v>249499</v>
      </c>
    </row>
    <row r="174" spans="1:9" ht="11.85" customHeight="1" x14ac:dyDescent="0.25">
      <c r="A174" s="197" t="s">
        <v>622</v>
      </c>
      <c r="B174" s="198" t="s">
        <v>623</v>
      </c>
      <c r="C174" s="197" t="s">
        <v>99</v>
      </c>
      <c r="D174" s="249"/>
      <c r="H174" s="255" t="s">
        <v>624</v>
      </c>
      <c r="I174" s="256">
        <v>470170.51</v>
      </c>
    </row>
    <row r="175" spans="1:9" ht="11.85" customHeight="1" x14ac:dyDescent="0.25">
      <c r="A175" s="197" t="s">
        <v>625</v>
      </c>
      <c r="B175" s="198" t="s">
        <v>626</v>
      </c>
      <c r="C175" s="197" t="s">
        <v>99</v>
      </c>
      <c r="D175" s="249"/>
      <c r="H175" s="255" t="s">
        <v>627</v>
      </c>
      <c r="I175" s="256">
        <v>7304410</v>
      </c>
    </row>
    <row r="176" spans="1:9" ht="11.85" customHeight="1" x14ac:dyDescent="0.25">
      <c r="A176" s="197" t="s">
        <v>628</v>
      </c>
      <c r="B176" s="198" t="s">
        <v>629</v>
      </c>
      <c r="C176" s="197" t="s">
        <v>99</v>
      </c>
      <c r="D176" s="249"/>
      <c r="H176" s="258" t="s">
        <v>630</v>
      </c>
      <c r="I176" s="259"/>
    </row>
    <row r="177" spans="1:10" ht="11.85" customHeight="1" x14ac:dyDescent="0.25">
      <c r="A177" s="197" t="s">
        <v>631</v>
      </c>
      <c r="B177" s="198" t="s">
        <v>632</v>
      </c>
      <c r="C177" s="197" t="s">
        <v>99</v>
      </c>
      <c r="D177" s="249"/>
      <c r="H177" s="258" t="s">
        <v>633</v>
      </c>
      <c r="I177" s="259" t="s">
        <v>634</v>
      </c>
    </row>
    <row r="178" spans="1:10" ht="11.85" customHeight="1" x14ac:dyDescent="0.25">
      <c r="A178" s="197" t="s">
        <v>635</v>
      </c>
      <c r="B178" s="198" t="s">
        <v>636</v>
      </c>
      <c r="C178" s="197" t="s">
        <v>99</v>
      </c>
      <c r="D178" s="249"/>
    </row>
    <row r="179" spans="1:10" ht="11.85" customHeight="1" x14ac:dyDescent="0.25">
      <c r="A179" s="197" t="s">
        <v>637</v>
      </c>
      <c r="B179" s="198" t="s">
        <v>638</v>
      </c>
      <c r="C179" s="197" t="s">
        <v>99</v>
      </c>
      <c r="D179" s="245">
        <v>5440</v>
      </c>
      <c r="E179" s="257">
        <f>I169</f>
        <v>5439878.4699999997</v>
      </c>
    </row>
    <row r="180" spans="1:10" ht="11.85" customHeight="1" x14ac:dyDescent="0.25">
      <c r="A180" s="197" t="s">
        <v>639</v>
      </c>
      <c r="B180" s="198" t="s">
        <v>640</v>
      </c>
      <c r="C180" s="197" t="s">
        <v>99</v>
      </c>
      <c r="D180" s="245">
        <v>1816</v>
      </c>
      <c r="E180" s="260">
        <f>I172+I173+I174</f>
        <v>1815597.11</v>
      </c>
    </row>
    <row r="181" spans="1:10" ht="11.85" customHeight="1" x14ac:dyDescent="0.25">
      <c r="A181" s="233" t="s">
        <v>140</v>
      </c>
      <c r="B181" s="198" t="s">
        <v>641</v>
      </c>
      <c r="C181" s="197" t="s">
        <v>99</v>
      </c>
      <c r="D181" s="245">
        <v>2250644</v>
      </c>
      <c r="E181" s="257"/>
    </row>
    <row r="182" spans="1:10" ht="11.85" customHeight="1" x14ac:dyDescent="0.25">
      <c r="A182" s="197" t="s">
        <v>318</v>
      </c>
      <c r="B182" s="198" t="s">
        <v>642</v>
      </c>
      <c r="C182" s="197" t="s">
        <v>99</v>
      </c>
      <c r="D182" s="245">
        <v>-10973</v>
      </c>
      <c r="E182" s="257">
        <f>I171</f>
        <v>-10973496</v>
      </c>
    </row>
    <row r="183" spans="1:10" ht="11.85" customHeight="1" x14ac:dyDescent="0.25">
      <c r="A183" s="197" t="s">
        <v>319</v>
      </c>
      <c r="B183" s="198" t="s">
        <v>643</v>
      </c>
      <c r="C183" s="197" t="s">
        <v>99</v>
      </c>
      <c r="D183" s="245">
        <v>2261618</v>
      </c>
      <c r="E183" s="257">
        <f>I170</f>
        <v>2261617757.3499999</v>
      </c>
    </row>
    <row r="184" spans="1:10" ht="22.35" customHeight="1" x14ac:dyDescent="0.25">
      <c r="A184" s="233" t="s">
        <v>644</v>
      </c>
      <c r="B184" s="198" t="s">
        <v>645</v>
      </c>
      <c r="C184" s="197" t="s">
        <v>99</v>
      </c>
      <c r="D184" s="249"/>
    </row>
    <row r="185" spans="1:10" ht="22.35" customHeight="1" x14ac:dyDescent="0.25">
      <c r="A185" s="233" t="s">
        <v>646</v>
      </c>
      <c r="B185" s="198" t="s">
        <v>647</v>
      </c>
      <c r="C185" s="197" t="s">
        <v>99</v>
      </c>
      <c r="D185" s="249"/>
    </row>
    <row r="186" spans="1:10" s="244" customFormat="1" ht="11.85" customHeight="1" x14ac:dyDescent="0.2">
      <c r="A186" s="188" t="s">
        <v>41</v>
      </c>
      <c r="B186" s="189" t="s">
        <v>40</v>
      </c>
      <c r="C186" s="188" t="s">
        <v>99</v>
      </c>
      <c r="D186" s="242">
        <v>49872360</v>
      </c>
    </row>
    <row r="188" spans="1:10" x14ac:dyDescent="0.25">
      <c r="A188" s="473" t="s">
        <v>648</v>
      </c>
      <c r="B188" s="473"/>
      <c r="C188" s="473"/>
      <c r="D188" s="473"/>
      <c r="H188" s="183" t="s">
        <v>649</v>
      </c>
    </row>
    <row r="189" spans="1:10" x14ac:dyDescent="0.25">
      <c r="A189" s="473" t="s">
        <v>650</v>
      </c>
      <c r="B189" s="473"/>
      <c r="C189" s="473"/>
      <c r="D189" s="473"/>
      <c r="H189" s="185" t="s">
        <v>327</v>
      </c>
    </row>
    <row r="190" spans="1:10" x14ac:dyDescent="0.25">
      <c r="A190" s="481" t="s">
        <v>651</v>
      </c>
      <c r="B190" s="481"/>
      <c r="C190" s="481"/>
      <c r="D190" s="481"/>
    </row>
    <row r="191" spans="1:10" x14ac:dyDescent="0.25">
      <c r="H191" s="187" t="s">
        <v>652</v>
      </c>
    </row>
    <row r="192" spans="1:10" ht="11.85" customHeight="1" x14ac:dyDescent="0.25">
      <c r="A192" s="197" t="s">
        <v>2</v>
      </c>
      <c r="B192" s="197" t="s">
        <v>653</v>
      </c>
      <c r="C192" s="197" t="s">
        <v>5</v>
      </c>
      <c r="D192" s="261">
        <v>2019</v>
      </c>
      <c r="I192" s="244"/>
      <c r="J192" s="244"/>
    </row>
    <row r="193" spans="1:10" s="184" customFormat="1" ht="22.35" customHeight="1" x14ac:dyDescent="0.25">
      <c r="A193" s="188" t="s">
        <v>6</v>
      </c>
      <c r="B193" s="189" t="s">
        <v>654</v>
      </c>
      <c r="C193" s="188" t="s">
        <v>99</v>
      </c>
      <c r="D193" s="262">
        <v>3423689</v>
      </c>
      <c r="G193" s="474" t="s">
        <v>2</v>
      </c>
      <c r="H193" s="475" t="s">
        <v>655</v>
      </c>
      <c r="I193" s="192">
        <v>2019</v>
      </c>
      <c r="J193" s="193"/>
    </row>
    <row r="194" spans="1:10" s="244" customFormat="1" ht="11.85" customHeight="1" x14ac:dyDescent="0.2">
      <c r="A194" s="263" t="s">
        <v>0</v>
      </c>
      <c r="B194" s="189" t="s">
        <v>55</v>
      </c>
      <c r="C194" s="188" t="s">
        <v>99</v>
      </c>
      <c r="D194" s="262">
        <v>2972615</v>
      </c>
      <c r="G194" s="474"/>
      <c r="H194" s="475"/>
      <c r="I194" s="195"/>
      <c r="J194" s="196">
        <v>933455</v>
      </c>
    </row>
    <row r="195" spans="1:10" ht="11.85" customHeight="1" x14ac:dyDescent="0.25">
      <c r="A195" s="264" t="s">
        <v>46</v>
      </c>
      <c r="B195" s="198" t="s">
        <v>94</v>
      </c>
      <c r="C195" s="265" t="s">
        <v>99</v>
      </c>
      <c r="D195" s="266">
        <v>83931</v>
      </c>
      <c r="E195" s="200">
        <f>J214</f>
        <v>84172793.890000001</v>
      </c>
      <c r="F195" s="191">
        <f>D195+D197</f>
        <v>84173</v>
      </c>
      <c r="G195" s="474"/>
      <c r="H195" s="475" t="s">
        <v>337</v>
      </c>
      <c r="I195" s="201" t="s">
        <v>338</v>
      </c>
      <c r="J195" s="193"/>
    </row>
    <row r="196" spans="1:10" ht="11.85" customHeight="1" x14ac:dyDescent="0.25">
      <c r="A196" s="264" t="s">
        <v>56</v>
      </c>
      <c r="B196" s="198" t="s">
        <v>57</v>
      </c>
      <c r="C196" s="265" t="s">
        <v>99</v>
      </c>
      <c r="D196" s="267"/>
      <c r="G196" s="474"/>
      <c r="H196" s="475"/>
      <c r="I196" s="203" t="s">
        <v>341</v>
      </c>
      <c r="J196" s="203" t="s">
        <v>342</v>
      </c>
    </row>
    <row r="197" spans="1:10" ht="11.85" customHeight="1" x14ac:dyDescent="0.25">
      <c r="A197" s="264" t="s">
        <v>98</v>
      </c>
      <c r="B197" s="189" t="s">
        <v>16</v>
      </c>
      <c r="C197" s="265" t="s">
        <v>99</v>
      </c>
      <c r="D197" s="268">
        <v>242</v>
      </c>
      <c r="G197" s="204"/>
    </row>
    <row r="198" spans="1:10" ht="11.85" customHeight="1" x14ac:dyDescent="0.25">
      <c r="A198" s="264"/>
      <c r="B198" s="211" t="s">
        <v>360</v>
      </c>
      <c r="C198" s="197"/>
      <c r="D198" s="197"/>
      <c r="G198" s="205">
        <v>1</v>
      </c>
      <c r="H198" s="206" t="s">
        <v>52</v>
      </c>
      <c r="I198" s="207">
        <v>2320.1</v>
      </c>
      <c r="J198" s="207">
        <v>2165712357.6199999</v>
      </c>
    </row>
    <row r="199" spans="1:10" ht="11.85" customHeight="1" x14ac:dyDescent="0.25">
      <c r="A199" s="264"/>
      <c r="B199" s="198" t="s">
        <v>656</v>
      </c>
      <c r="C199" s="197" t="s">
        <v>99</v>
      </c>
      <c r="D199" s="214">
        <v>89</v>
      </c>
      <c r="G199" s="205">
        <v>2</v>
      </c>
      <c r="H199" s="206" t="s">
        <v>347</v>
      </c>
      <c r="I199" s="210"/>
      <c r="J199" s="210"/>
    </row>
    <row r="200" spans="1:10" ht="11.85" customHeight="1" x14ac:dyDescent="0.25">
      <c r="A200" s="264"/>
      <c r="B200" s="198" t="s">
        <v>657</v>
      </c>
      <c r="C200" s="197" t="s">
        <v>99</v>
      </c>
      <c r="D200" s="214">
        <v>7</v>
      </c>
      <c r="G200" s="205">
        <v>3</v>
      </c>
      <c r="H200" s="206" t="s">
        <v>349</v>
      </c>
      <c r="I200" s="210"/>
      <c r="J200" s="210"/>
    </row>
    <row r="201" spans="1:10" ht="11.85" customHeight="1" x14ac:dyDescent="0.25">
      <c r="A201" s="264"/>
      <c r="B201" s="198" t="s">
        <v>658</v>
      </c>
      <c r="C201" s="197" t="s">
        <v>99</v>
      </c>
      <c r="D201" s="214">
        <v>41</v>
      </c>
      <c r="G201" s="205">
        <v>4</v>
      </c>
      <c r="H201" s="206" t="s">
        <v>351</v>
      </c>
      <c r="I201" s="209">
        <v>753.07</v>
      </c>
      <c r="J201" s="207">
        <v>702953755.22000003</v>
      </c>
    </row>
    <row r="202" spans="1:10" ht="11.85" customHeight="1" x14ac:dyDescent="0.25">
      <c r="A202" s="264"/>
      <c r="B202" s="198" t="s">
        <v>659</v>
      </c>
      <c r="C202" s="197" t="s">
        <v>99</v>
      </c>
      <c r="D202" s="214">
        <v>98</v>
      </c>
      <c r="G202" s="205">
        <v>5</v>
      </c>
      <c r="H202" s="206" t="s">
        <v>353</v>
      </c>
      <c r="I202" s="209">
        <v>1.77</v>
      </c>
      <c r="J202" s="207">
        <v>1650756.72</v>
      </c>
    </row>
    <row r="203" spans="1:10" ht="11.85" customHeight="1" x14ac:dyDescent="0.25">
      <c r="A203" s="264"/>
      <c r="B203" s="198" t="s">
        <v>660</v>
      </c>
      <c r="C203" s="197" t="s">
        <v>99</v>
      </c>
      <c r="D203" s="214">
        <v>7</v>
      </c>
      <c r="G203" s="205">
        <v>6</v>
      </c>
      <c r="H203" s="206" t="s">
        <v>355</v>
      </c>
      <c r="I203" s="210"/>
      <c r="J203" s="210"/>
    </row>
    <row r="204" spans="1:10" ht="11.85" customHeight="1" x14ac:dyDescent="0.25">
      <c r="A204" s="264" t="s">
        <v>58</v>
      </c>
      <c r="B204" s="198" t="s">
        <v>661</v>
      </c>
      <c r="C204" s="265" t="s">
        <v>99</v>
      </c>
      <c r="D204" s="266">
        <v>2165712</v>
      </c>
      <c r="E204" s="200">
        <f>J198</f>
        <v>2165712357.6199999</v>
      </c>
      <c r="G204" s="205">
        <v>7</v>
      </c>
      <c r="H204" s="206" t="s">
        <v>357</v>
      </c>
      <c r="I204" s="210"/>
      <c r="J204" s="210"/>
    </row>
    <row r="205" spans="1:10" ht="11.85" customHeight="1" x14ac:dyDescent="0.25">
      <c r="A205" s="264" t="s">
        <v>59</v>
      </c>
      <c r="B205" s="269" t="s">
        <v>60</v>
      </c>
      <c r="C205" s="265" t="s">
        <v>99</v>
      </c>
      <c r="D205" s="270">
        <v>722730</v>
      </c>
      <c r="E205" s="200">
        <f>J201+J202+J205</f>
        <v>722729884.88</v>
      </c>
      <c r="G205" s="205">
        <v>8</v>
      </c>
      <c r="H205" s="206" t="s">
        <v>359</v>
      </c>
      <c r="I205" s="209">
        <v>19.420000000000002</v>
      </c>
      <c r="J205" s="207">
        <v>18125372.940000001</v>
      </c>
    </row>
    <row r="206" spans="1:10" ht="11.85" customHeight="1" x14ac:dyDescent="0.25">
      <c r="A206" s="263" t="s">
        <v>1</v>
      </c>
      <c r="B206" s="189" t="s">
        <v>95</v>
      </c>
      <c r="C206" s="188" t="s">
        <v>99</v>
      </c>
      <c r="D206" s="262">
        <v>253217</v>
      </c>
      <c r="G206" s="205">
        <v>9</v>
      </c>
      <c r="H206" s="206" t="s">
        <v>361</v>
      </c>
      <c r="I206" s="210"/>
      <c r="J206" s="210"/>
    </row>
    <row r="207" spans="1:10" ht="11.85" customHeight="1" x14ac:dyDescent="0.25">
      <c r="A207" s="264" t="s">
        <v>106</v>
      </c>
      <c r="B207" s="198" t="s">
        <v>107</v>
      </c>
      <c r="C207" s="265" t="s">
        <v>99</v>
      </c>
      <c r="D207" s="266">
        <v>224560</v>
      </c>
      <c r="E207" s="200">
        <f>J208+J215</f>
        <v>224559774.22</v>
      </c>
      <c r="G207" s="205">
        <v>10</v>
      </c>
      <c r="H207" s="206" t="s">
        <v>363</v>
      </c>
      <c r="I207" s="210"/>
      <c r="J207" s="210"/>
    </row>
    <row r="208" spans="1:10" ht="11.85" customHeight="1" x14ac:dyDescent="0.25">
      <c r="A208" s="264" t="s">
        <v>47</v>
      </c>
      <c r="B208" s="189" t="s">
        <v>62</v>
      </c>
      <c r="C208" s="265" t="s">
        <v>99</v>
      </c>
      <c r="D208" s="262">
        <v>28657</v>
      </c>
      <c r="G208" s="205">
        <v>11</v>
      </c>
      <c r="H208" s="206" t="s">
        <v>366</v>
      </c>
      <c r="I208" s="209">
        <v>103.88</v>
      </c>
      <c r="J208" s="207">
        <v>96967966.310000002</v>
      </c>
    </row>
    <row r="209" spans="1:10" ht="11.85" customHeight="1" x14ac:dyDescent="0.25">
      <c r="A209" s="264"/>
      <c r="B209" s="211" t="s">
        <v>360</v>
      </c>
      <c r="C209" s="197"/>
      <c r="D209" s="197"/>
      <c r="G209" s="205">
        <v>12</v>
      </c>
      <c r="H209" s="206" t="s">
        <v>367</v>
      </c>
      <c r="I209" s="209">
        <v>5.97</v>
      </c>
      <c r="J209" s="207">
        <v>5575842.6699999999</v>
      </c>
    </row>
    <row r="210" spans="1:10" ht="11.85" customHeight="1" x14ac:dyDescent="0.25">
      <c r="A210" s="264"/>
      <c r="B210" s="198" t="s">
        <v>368</v>
      </c>
      <c r="C210" s="197" t="s">
        <v>99</v>
      </c>
      <c r="D210" s="199">
        <v>13185</v>
      </c>
      <c r="E210" s="200">
        <f>J209+J216</f>
        <v>13185283.220000001</v>
      </c>
      <c r="G210" s="205">
        <v>13</v>
      </c>
      <c r="H210" s="206" t="s">
        <v>369</v>
      </c>
      <c r="I210" s="209">
        <v>9.15</v>
      </c>
      <c r="J210" s="207">
        <v>8536857.6500000004</v>
      </c>
    </row>
    <row r="211" spans="1:10" ht="11.85" customHeight="1" x14ac:dyDescent="0.25">
      <c r="A211" s="264"/>
      <c r="B211" s="198" t="s">
        <v>370</v>
      </c>
      <c r="C211" s="197" t="s">
        <v>99</v>
      </c>
      <c r="D211" s="199">
        <v>6074</v>
      </c>
      <c r="E211" s="200">
        <f>J210+J217</f>
        <v>15471635.99</v>
      </c>
      <c r="F211" s="191">
        <f>D211+D212+D213</f>
        <v>15472</v>
      </c>
      <c r="G211" s="205">
        <v>14</v>
      </c>
      <c r="H211" s="206" t="s">
        <v>18</v>
      </c>
      <c r="I211" s="209">
        <v>38.659999999999997</v>
      </c>
      <c r="J211" s="207">
        <v>36086349.649999999</v>
      </c>
    </row>
    <row r="212" spans="1:10" ht="22.35" customHeight="1" x14ac:dyDescent="0.25">
      <c r="A212" s="264"/>
      <c r="B212" s="198" t="s">
        <v>371</v>
      </c>
      <c r="C212" s="197" t="s">
        <v>99</v>
      </c>
      <c r="D212" s="199">
        <v>6335</v>
      </c>
      <c r="G212" s="212">
        <v>15</v>
      </c>
      <c r="H212" s="206" t="s">
        <v>372</v>
      </c>
      <c r="I212" s="209">
        <v>285.2</v>
      </c>
      <c r="J212" s="207">
        <v>266217750.13999999</v>
      </c>
    </row>
    <row r="213" spans="1:10" ht="11.85" customHeight="1" x14ac:dyDescent="0.25">
      <c r="A213" s="264"/>
      <c r="B213" s="198" t="s">
        <v>373</v>
      </c>
      <c r="C213" s="197" t="s">
        <v>99</v>
      </c>
      <c r="D213" s="199">
        <v>3063</v>
      </c>
      <c r="G213" s="213" t="s">
        <v>374</v>
      </c>
      <c r="H213" s="206" t="s">
        <v>111</v>
      </c>
      <c r="I213" s="209">
        <v>2.94</v>
      </c>
      <c r="J213" s="207">
        <v>2740236.63</v>
      </c>
    </row>
    <row r="214" spans="1:10" s="244" customFormat="1" ht="11.85" customHeight="1" x14ac:dyDescent="0.2">
      <c r="A214" s="263" t="s">
        <v>54</v>
      </c>
      <c r="B214" s="189" t="s">
        <v>18</v>
      </c>
      <c r="C214" s="188" t="s">
        <v>99</v>
      </c>
      <c r="D214" s="262">
        <v>47937</v>
      </c>
      <c r="E214" s="243">
        <f>J211+J218</f>
        <v>47937261.060000002</v>
      </c>
      <c r="G214" s="213" t="s">
        <v>375</v>
      </c>
      <c r="H214" s="206" t="s">
        <v>376</v>
      </c>
      <c r="I214" s="209">
        <v>90.17</v>
      </c>
      <c r="J214" s="207">
        <v>84172793.890000001</v>
      </c>
    </row>
    <row r="215" spans="1:10" s="244" customFormat="1" ht="11.85" customHeight="1" x14ac:dyDescent="0.2">
      <c r="A215" s="263" t="s">
        <v>53</v>
      </c>
      <c r="B215" s="189" t="s">
        <v>108</v>
      </c>
      <c r="C215" s="188" t="s">
        <v>99</v>
      </c>
      <c r="D215" s="186"/>
      <c r="G215" s="213" t="s">
        <v>378</v>
      </c>
      <c r="H215" s="206" t="s">
        <v>379</v>
      </c>
      <c r="I215" s="209">
        <v>136.69</v>
      </c>
      <c r="J215" s="207">
        <v>127591807.91</v>
      </c>
    </row>
    <row r="216" spans="1:10" ht="22.35" customHeight="1" x14ac:dyDescent="0.25">
      <c r="A216" s="264" t="s">
        <v>109</v>
      </c>
      <c r="B216" s="198" t="s">
        <v>110</v>
      </c>
      <c r="C216" s="265" t="s">
        <v>99</v>
      </c>
      <c r="D216" s="267"/>
      <c r="G216" s="213" t="s">
        <v>381</v>
      </c>
      <c r="H216" s="206" t="s">
        <v>367</v>
      </c>
      <c r="I216" s="209">
        <v>8.15</v>
      </c>
      <c r="J216" s="207">
        <v>7609440.5499999998</v>
      </c>
    </row>
    <row r="217" spans="1:10" s="244" customFormat="1" ht="11.85" customHeight="1" x14ac:dyDescent="0.2">
      <c r="A217" s="263" t="s">
        <v>63</v>
      </c>
      <c r="B217" s="189" t="s">
        <v>97</v>
      </c>
      <c r="C217" s="188" t="s">
        <v>99</v>
      </c>
      <c r="D217" s="262">
        <v>149920</v>
      </c>
      <c r="G217" s="213" t="s">
        <v>382</v>
      </c>
      <c r="H217" s="206" t="s">
        <v>369</v>
      </c>
      <c r="I217" s="209">
        <v>7.43</v>
      </c>
      <c r="J217" s="207">
        <v>6934778.3399999999</v>
      </c>
    </row>
    <row r="218" spans="1:10" ht="22.35" customHeight="1" x14ac:dyDescent="0.25">
      <c r="A218" s="264" t="s">
        <v>64</v>
      </c>
      <c r="B218" s="189" t="s">
        <v>21</v>
      </c>
      <c r="C218" s="265" t="s">
        <v>99</v>
      </c>
      <c r="D218" s="262">
        <v>25270</v>
      </c>
      <c r="E218" s="200">
        <f>J219</f>
        <v>25317781.41</v>
      </c>
      <c r="F218" s="191">
        <f>D218+D256</f>
        <v>25318</v>
      </c>
      <c r="G218" s="213" t="s">
        <v>384</v>
      </c>
      <c r="H218" s="206" t="s">
        <v>18</v>
      </c>
      <c r="I218" s="209">
        <v>12.7</v>
      </c>
      <c r="J218" s="207">
        <v>11850911.41</v>
      </c>
    </row>
    <row r="219" spans="1:10" ht="11.85" customHeight="1" x14ac:dyDescent="0.25">
      <c r="A219" s="264"/>
      <c r="B219" s="211" t="s">
        <v>360</v>
      </c>
      <c r="C219" s="197"/>
      <c r="D219" s="197"/>
      <c r="G219" s="213" t="s">
        <v>386</v>
      </c>
      <c r="H219" s="206" t="s">
        <v>387</v>
      </c>
      <c r="I219" s="209">
        <v>27.12</v>
      </c>
      <c r="J219" s="207">
        <v>25317781.41</v>
      </c>
    </row>
    <row r="220" spans="1:10" ht="11.85" customHeight="1" x14ac:dyDescent="0.25">
      <c r="A220" s="264"/>
      <c r="B220" s="198" t="s">
        <v>437</v>
      </c>
      <c r="C220" s="197" t="s">
        <v>99</v>
      </c>
      <c r="D220" s="214">
        <v>359</v>
      </c>
      <c r="G220" s="213" t="s">
        <v>389</v>
      </c>
      <c r="H220" s="206" t="s">
        <v>377</v>
      </c>
      <c r="I220" s="210"/>
      <c r="J220" s="210"/>
    </row>
    <row r="221" spans="1:10" ht="11.85" customHeight="1" x14ac:dyDescent="0.25">
      <c r="A221" s="264"/>
      <c r="B221" s="198" t="s">
        <v>439</v>
      </c>
      <c r="C221" s="197" t="s">
        <v>99</v>
      </c>
      <c r="D221" s="199">
        <v>16822</v>
      </c>
      <c r="G221" s="213" t="s">
        <v>391</v>
      </c>
      <c r="H221" s="215" t="s">
        <v>392</v>
      </c>
      <c r="I221" s="216">
        <v>3537.21</v>
      </c>
      <c r="J221" s="216">
        <v>3301827008.9200001</v>
      </c>
    </row>
    <row r="222" spans="1:10" ht="11.85" customHeight="1" x14ac:dyDescent="0.25">
      <c r="A222" s="264"/>
      <c r="B222" s="198" t="s">
        <v>441</v>
      </c>
      <c r="C222" s="197" t="s">
        <v>99</v>
      </c>
      <c r="D222" s="199">
        <v>2736</v>
      </c>
      <c r="G222" s="217"/>
      <c r="J222" s="218"/>
    </row>
    <row r="223" spans="1:10" ht="11.85" customHeight="1" x14ac:dyDescent="0.25">
      <c r="A223" s="264"/>
      <c r="B223" s="198" t="s">
        <v>443</v>
      </c>
      <c r="C223" s="197" t="s">
        <v>99</v>
      </c>
      <c r="D223" s="199">
        <v>1947</v>
      </c>
      <c r="G223" s="205">
        <v>16</v>
      </c>
      <c r="H223" s="206" t="s">
        <v>395</v>
      </c>
      <c r="I223" s="210"/>
      <c r="J223" s="210"/>
    </row>
    <row r="224" spans="1:10" ht="11.85" customHeight="1" x14ac:dyDescent="0.25">
      <c r="A224" s="264"/>
      <c r="B224" s="198" t="s">
        <v>445</v>
      </c>
      <c r="C224" s="197" t="s">
        <v>99</v>
      </c>
      <c r="D224" s="214">
        <v>83</v>
      </c>
      <c r="G224" s="205">
        <v>17</v>
      </c>
      <c r="H224" s="206" t="s">
        <v>397</v>
      </c>
      <c r="I224" s="210"/>
      <c r="J224" s="210"/>
    </row>
    <row r="225" spans="1:18" ht="11.85" customHeight="1" x14ac:dyDescent="0.25">
      <c r="A225" s="264"/>
      <c r="B225" s="198" t="s">
        <v>447</v>
      </c>
      <c r="C225" s="197" t="s">
        <v>99</v>
      </c>
      <c r="D225" s="214">
        <v>25</v>
      </c>
      <c r="G225" s="205">
        <v>18</v>
      </c>
      <c r="H225" s="206" t="s">
        <v>399</v>
      </c>
      <c r="I225" s="210"/>
      <c r="J225" s="210"/>
    </row>
    <row r="226" spans="1:18" ht="11.85" customHeight="1" x14ac:dyDescent="0.25">
      <c r="A226" s="264"/>
      <c r="B226" s="198" t="s">
        <v>451</v>
      </c>
      <c r="C226" s="197" t="s">
        <v>99</v>
      </c>
      <c r="D226" s="199">
        <v>1296</v>
      </c>
      <c r="G226" s="205">
        <v>19</v>
      </c>
      <c r="H226" s="206" t="s">
        <v>400</v>
      </c>
      <c r="I226" s="209">
        <v>130.55000000000001</v>
      </c>
      <c r="J226" s="207">
        <v>121862111.5</v>
      </c>
    </row>
    <row r="227" spans="1:18" ht="11.85" customHeight="1" x14ac:dyDescent="0.25">
      <c r="A227" s="264"/>
      <c r="B227" s="198" t="s">
        <v>455</v>
      </c>
      <c r="C227" s="197" t="s">
        <v>99</v>
      </c>
      <c r="D227" s="214">
        <v>633</v>
      </c>
      <c r="G227" s="212">
        <v>20</v>
      </c>
      <c r="H227" s="206" t="s">
        <v>402</v>
      </c>
      <c r="I227" s="210"/>
      <c r="J227" s="210"/>
    </row>
    <row r="228" spans="1:18" ht="11.85" customHeight="1" x14ac:dyDescent="0.25">
      <c r="A228" s="264"/>
      <c r="B228" s="198" t="s">
        <v>459</v>
      </c>
      <c r="C228" s="197" t="s">
        <v>99</v>
      </c>
      <c r="D228" s="199">
        <v>1201</v>
      </c>
      <c r="G228" s="213" t="s">
        <v>404</v>
      </c>
      <c r="H228" s="215" t="s">
        <v>405</v>
      </c>
      <c r="I228" s="216">
        <v>3667.76</v>
      </c>
      <c r="J228" s="216">
        <v>3423689120.4200001</v>
      </c>
    </row>
    <row r="229" spans="1:18" ht="11.85" customHeight="1" x14ac:dyDescent="0.25">
      <c r="A229" s="264"/>
      <c r="B229" s="198" t="s">
        <v>461</v>
      </c>
      <c r="C229" s="197" t="s">
        <v>99</v>
      </c>
      <c r="D229" s="214">
        <v>2</v>
      </c>
      <c r="G229" s="217"/>
      <c r="J229" s="220"/>
    </row>
    <row r="230" spans="1:18" ht="11.85" customHeight="1" x14ac:dyDescent="0.25">
      <c r="A230" s="264"/>
      <c r="B230" s="198" t="s">
        <v>453</v>
      </c>
      <c r="C230" s="197" t="s">
        <v>99</v>
      </c>
      <c r="D230" s="214">
        <v>165</v>
      </c>
      <c r="G230" s="212">
        <v>21</v>
      </c>
      <c r="H230" s="206" t="s">
        <v>408</v>
      </c>
      <c r="I230" s="209">
        <v>54.61</v>
      </c>
      <c r="J230" s="207">
        <v>50974089.299999997</v>
      </c>
    </row>
    <row r="231" spans="1:18" ht="11.85" customHeight="1" x14ac:dyDescent="0.25">
      <c r="A231" s="264" t="s">
        <v>65</v>
      </c>
      <c r="B231" s="189" t="s">
        <v>111</v>
      </c>
      <c r="C231" s="265" t="s">
        <v>99</v>
      </c>
      <c r="D231" s="262">
        <v>2740</v>
      </c>
      <c r="E231" s="200"/>
      <c r="G231" s="212">
        <v>22</v>
      </c>
      <c r="H231" s="206" t="s">
        <v>410</v>
      </c>
      <c r="I231" s="209">
        <v>1.33</v>
      </c>
      <c r="J231" s="207">
        <v>1243096.71</v>
      </c>
    </row>
    <row r="232" spans="1:18" ht="11.85" customHeight="1" x14ac:dyDescent="0.25">
      <c r="A232" s="264"/>
      <c r="B232" s="211" t="s">
        <v>360</v>
      </c>
      <c r="C232" s="197"/>
      <c r="D232" s="197"/>
      <c r="G232" s="212">
        <v>23</v>
      </c>
      <c r="H232" s="206" t="s">
        <v>412</v>
      </c>
      <c r="I232" s="209">
        <v>2.64</v>
      </c>
      <c r="J232" s="207">
        <v>2461873.63</v>
      </c>
    </row>
    <row r="233" spans="1:18" ht="11.85" customHeight="1" x14ac:dyDescent="0.25">
      <c r="A233" s="264"/>
      <c r="B233" s="198" t="s">
        <v>383</v>
      </c>
      <c r="C233" s="197" t="s">
        <v>99</v>
      </c>
      <c r="D233" s="214">
        <v>123</v>
      </c>
      <c r="G233" s="212">
        <v>24</v>
      </c>
      <c r="H233" s="206" t="s">
        <v>414</v>
      </c>
      <c r="I233" s="209">
        <v>3.27</v>
      </c>
      <c r="J233" s="207">
        <v>3054971.5</v>
      </c>
    </row>
    <row r="234" spans="1:18" ht="11.85" customHeight="1" x14ac:dyDescent="0.25">
      <c r="A234" s="264"/>
      <c r="B234" s="198" t="s">
        <v>388</v>
      </c>
      <c r="C234" s="197" t="s">
        <v>99</v>
      </c>
      <c r="D234" s="214">
        <v>406</v>
      </c>
      <c r="G234" s="212">
        <v>25</v>
      </c>
      <c r="H234" s="206" t="s">
        <v>416</v>
      </c>
      <c r="I234" s="209">
        <v>193.55</v>
      </c>
      <c r="J234" s="207">
        <v>180668410.31999999</v>
      </c>
    </row>
    <row r="235" spans="1:18" ht="11.85" customHeight="1" x14ac:dyDescent="0.25">
      <c r="A235" s="264"/>
      <c r="B235" s="198" t="s">
        <v>390</v>
      </c>
      <c r="C235" s="197" t="s">
        <v>99</v>
      </c>
      <c r="D235" s="214">
        <v>584</v>
      </c>
      <c r="G235" s="213" t="s">
        <v>420</v>
      </c>
      <c r="H235" s="215" t="s">
        <v>421</v>
      </c>
      <c r="I235" s="216">
        <v>3923.16</v>
      </c>
      <c r="J235" s="216">
        <v>3662091561.8800001</v>
      </c>
    </row>
    <row r="236" spans="1:18" ht="11.85" customHeight="1" x14ac:dyDescent="0.25">
      <c r="A236" s="264"/>
      <c r="B236" s="198" t="s">
        <v>393</v>
      </c>
      <c r="C236" s="197" t="s">
        <v>99</v>
      </c>
      <c r="D236" s="214">
        <v>76</v>
      </c>
      <c r="G236" s="213"/>
      <c r="H236" s="221"/>
      <c r="I236" s="210"/>
      <c r="J236" s="210"/>
    </row>
    <row r="237" spans="1:18" ht="11.85" customHeight="1" x14ac:dyDescent="0.25">
      <c r="A237" s="264"/>
      <c r="B237" s="198" t="s">
        <v>396</v>
      </c>
      <c r="C237" s="197" t="s">
        <v>99</v>
      </c>
      <c r="D237" s="199">
        <v>1551</v>
      </c>
      <c r="G237" s="213"/>
      <c r="H237" s="221" t="s">
        <v>424</v>
      </c>
      <c r="I237" s="209">
        <v>285.2</v>
      </c>
      <c r="J237" s="207">
        <v>266217750.13999999</v>
      </c>
    </row>
    <row r="238" spans="1:18" ht="11.85" customHeight="1" x14ac:dyDescent="0.25">
      <c r="A238" s="264" t="s">
        <v>66</v>
      </c>
      <c r="B238" s="189" t="s">
        <v>112</v>
      </c>
      <c r="C238" s="265" t="s">
        <v>99</v>
      </c>
      <c r="D238" s="262">
        <v>121862</v>
      </c>
    </row>
    <row r="239" spans="1:18" ht="11.85" customHeight="1" x14ac:dyDescent="0.25">
      <c r="A239" s="264"/>
      <c r="B239" s="211" t="s">
        <v>360</v>
      </c>
      <c r="C239" s="197"/>
      <c r="D239" s="267"/>
    </row>
    <row r="240" spans="1:18" ht="11.85" customHeight="1" x14ac:dyDescent="0.25">
      <c r="A240" s="264"/>
      <c r="B240" s="198" t="s">
        <v>401</v>
      </c>
      <c r="C240" s="197" t="s">
        <v>99</v>
      </c>
      <c r="D240" s="199">
        <v>43509</v>
      </c>
      <c r="H240" s="222" t="s">
        <v>427</v>
      </c>
      <c r="K240" s="472" t="s">
        <v>662</v>
      </c>
      <c r="L240" s="472"/>
      <c r="M240" s="472"/>
      <c r="N240" s="472"/>
      <c r="O240" s="472"/>
      <c r="P240" s="472"/>
      <c r="Q240" s="472"/>
      <c r="R240" s="472"/>
    </row>
    <row r="241" spans="1:18" ht="11.85" customHeight="1" thickBot="1" x14ac:dyDescent="0.3">
      <c r="A241" s="264"/>
      <c r="B241" s="198" t="s">
        <v>403</v>
      </c>
      <c r="C241" s="197" t="s">
        <v>99</v>
      </c>
      <c r="D241" s="199">
        <v>10299</v>
      </c>
      <c r="O241" s="271" t="s">
        <v>51</v>
      </c>
      <c r="P241" s="271" t="s">
        <v>51</v>
      </c>
      <c r="Q241" s="271" t="s">
        <v>51</v>
      </c>
      <c r="R241" s="271" t="s">
        <v>51</v>
      </c>
    </row>
    <row r="242" spans="1:18" ht="11.85" customHeight="1" x14ac:dyDescent="0.25">
      <c r="A242" s="264"/>
      <c r="B242" s="198" t="s">
        <v>406</v>
      </c>
      <c r="C242" s="197" t="s">
        <v>99</v>
      </c>
      <c r="D242" s="199">
        <v>4595</v>
      </c>
      <c r="H242" s="226"/>
      <c r="I242" s="227" t="s">
        <v>663</v>
      </c>
      <c r="K242" s="186" t="s">
        <v>2</v>
      </c>
      <c r="L242" s="186" t="s">
        <v>653</v>
      </c>
      <c r="M242" s="186" t="s">
        <v>5</v>
      </c>
      <c r="N242" s="186" t="s">
        <v>664</v>
      </c>
      <c r="O242" s="186" t="s">
        <v>665</v>
      </c>
      <c r="P242" s="186" t="s">
        <v>666</v>
      </c>
      <c r="Q242" s="186" t="s">
        <v>667</v>
      </c>
      <c r="R242" s="186" t="s">
        <v>668</v>
      </c>
    </row>
    <row r="243" spans="1:18" ht="11.85" customHeight="1" x14ac:dyDescent="0.25">
      <c r="A243" s="264"/>
      <c r="B243" s="198" t="s">
        <v>409</v>
      </c>
      <c r="C243" s="197" t="s">
        <v>99</v>
      </c>
      <c r="D243" s="199">
        <v>8525</v>
      </c>
      <c r="H243" s="229">
        <v>1</v>
      </c>
      <c r="I243" s="230">
        <v>4</v>
      </c>
      <c r="K243" s="188"/>
      <c r="L243" s="189"/>
      <c r="M243" s="197"/>
      <c r="N243" s="272">
        <v>100</v>
      </c>
      <c r="O243" s="272">
        <v>0</v>
      </c>
      <c r="P243" s="273">
        <v>48.9</v>
      </c>
      <c r="Q243" s="273">
        <v>44.7</v>
      </c>
      <c r="R243" s="273">
        <v>6.4</v>
      </c>
    </row>
    <row r="244" spans="1:18" ht="11.85" customHeight="1" x14ac:dyDescent="0.25">
      <c r="A244" s="264"/>
      <c r="B244" s="198" t="s">
        <v>411</v>
      </c>
      <c r="C244" s="197" t="s">
        <v>99</v>
      </c>
      <c r="D244" s="199">
        <v>3352</v>
      </c>
      <c r="H244" s="231" t="s">
        <v>433</v>
      </c>
      <c r="I244" s="232">
        <v>37237905.43</v>
      </c>
      <c r="K244" s="274">
        <v>1</v>
      </c>
      <c r="L244" s="189" t="s">
        <v>416</v>
      </c>
      <c r="M244" s="188" t="s">
        <v>99</v>
      </c>
      <c r="N244" s="262">
        <v>369465</v>
      </c>
      <c r="O244" s="186"/>
      <c r="P244" s="262">
        <v>180668</v>
      </c>
      <c r="Q244" s="262">
        <v>165151</v>
      </c>
      <c r="R244" s="262">
        <v>23646</v>
      </c>
    </row>
    <row r="245" spans="1:18" ht="11.85" customHeight="1" x14ac:dyDescent="0.25">
      <c r="A245" s="264"/>
      <c r="B245" s="198" t="s">
        <v>413</v>
      </c>
      <c r="C245" s="197" t="s">
        <v>99</v>
      </c>
      <c r="D245" s="199">
        <v>8022</v>
      </c>
      <c r="H245" s="231" t="s">
        <v>434</v>
      </c>
      <c r="I245" s="232">
        <v>2525487.7400000002</v>
      </c>
      <c r="K245" s="275">
        <v>1</v>
      </c>
      <c r="L245" s="198" t="s">
        <v>134</v>
      </c>
      <c r="M245" s="197" t="s">
        <v>99</v>
      </c>
      <c r="N245" s="276">
        <v>64</v>
      </c>
      <c r="O245" s="267"/>
      <c r="P245" s="276">
        <v>31</v>
      </c>
      <c r="Q245" s="276">
        <v>28</v>
      </c>
      <c r="R245" s="276">
        <v>4</v>
      </c>
    </row>
    <row r="246" spans="1:18" ht="11.85" customHeight="1" x14ac:dyDescent="0.25">
      <c r="A246" s="264"/>
      <c r="B246" s="198" t="s">
        <v>415</v>
      </c>
      <c r="C246" s="197" t="s">
        <v>99</v>
      </c>
      <c r="D246" s="214">
        <v>282</v>
      </c>
      <c r="H246" s="231" t="s">
        <v>435</v>
      </c>
      <c r="I246" s="232">
        <v>687091.73</v>
      </c>
      <c r="K246" s="275">
        <v>2</v>
      </c>
      <c r="L246" s="198" t="s">
        <v>669</v>
      </c>
      <c r="M246" s="197" t="s">
        <v>99</v>
      </c>
      <c r="N246" s="276">
        <v>3</v>
      </c>
      <c r="O246" s="267"/>
      <c r="P246" s="276">
        <v>2</v>
      </c>
      <c r="Q246" s="276">
        <v>2</v>
      </c>
      <c r="R246" s="267"/>
    </row>
    <row r="247" spans="1:18" ht="11.85" customHeight="1" x14ac:dyDescent="0.25">
      <c r="A247" s="264"/>
      <c r="B247" s="198" t="s">
        <v>417</v>
      </c>
      <c r="C247" s="197" t="s">
        <v>99</v>
      </c>
      <c r="D247" s="197"/>
      <c r="H247" s="231" t="s">
        <v>436</v>
      </c>
      <c r="I247" s="232">
        <v>355582.49</v>
      </c>
      <c r="K247" s="275">
        <v>3</v>
      </c>
      <c r="L247" s="198" t="s">
        <v>670</v>
      </c>
      <c r="M247" s="197" t="s">
        <v>99</v>
      </c>
      <c r="N247" s="276">
        <v>2</v>
      </c>
      <c r="O247" s="267"/>
      <c r="P247" s="276">
        <v>1</v>
      </c>
      <c r="Q247" s="276">
        <v>1</v>
      </c>
      <c r="R247" s="267"/>
    </row>
    <row r="248" spans="1:18" ht="11.85" customHeight="1" x14ac:dyDescent="0.25">
      <c r="A248" s="264"/>
      <c r="B248" s="198" t="s">
        <v>419</v>
      </c>
      <c r="C248" s="197" t="s">
        <v>99</v>
      </c>
      <c r="D248" s="197"/>
      <c r="H248" s="231" t="s">
        <v>438</v>
      </c>
      <c r="I248" s="232">
        <v>605550.55000000005</v>
      </c>
      <c r="K248" s="275">
        <v>4</v>
      </c>
      <c r="L248" s="198" t="s">
        <v>671</v>
      </c>
      <c r="M248" s="197" t="s">
        <v>99</v>
      </c>
      <c r="N248" s="276">
        <v>1</v>
      </c>
      <c r="O248" s="267"/>
      <c r="P248" s="267"/>
      <c r="Q248" s="267"/>
      <c r="R248" s="267"/>
    </row>
    <row r="249" spans="1:18" ht="11.85" customHeight="1" x14ac:dyDescent="0.25">
      <c r="A249" s="264"/>
      <c r="B249" s="198" t="s">
        <v>422</v>
      </c>
      <c r="C249" s="197" t="s">
        <v>99</v>
      </c>
      <c r="D249" s="199">
        <v>7205</v>
      </c>
      <c r="H249" s="237" t="s">
        <v>440</v>
      </c>
      <c r="I249" s="238">
        <v>5534295.2199999997</v>
      </c>
      <c r="K249" s="275">
        <v>5</v>
      </c>
      <c r="L249" s="198" t="s">
        <v>137</v>
      </c>
      <c r="M249" s="197" t="s">
        <v>99</v>
      </c>
      <c r="N249" s="267"/>
      <c r="O249" s="267"/>
      <c r="P249" s="267"/>
      <c r="Q249" s="267"/>
      <c r="R249" s="267"/>
    </row>
    <row r="250" spans="1:18" ht="11.85" customHeight="1" x14ac:dyDescent="0.25">
      <c r="A250" s="264"/>
      <c r="B250" s="198" t="s">
        <v>423</v>
      </c>
      <c r="C250" s="197" t="s">
        <v>99</v>
      </c>
      <c r="D250" s="199">
        <v>16942</v>
      </c>
      <c r="H250" s="239" t="s">
        <v>442</v>
      </c>
      <c r="I250" s="240"/>
      <c r="K250" s="275">
        <v>6</v>
      </c>
      <c r="L250" s="198" t="s">
        <v>25</v>
      </c>
      <c r="M250" s="197" t="s">
        <v>99</v>
      </c>
      <c r="N250" s="267"/>
      <c r="O250" s="267"/>
      <c r="P250" s="267"/>
      <c r="Q250" s="267"/>
      <c r="R250" s="267"/>
    </row>
    <row r="251" spans="1:18" ht="22.35" customHeight="1" x14ac:dyDescent="0.25">
      <c r="A251" s="264"/>
      <c r="B251" s="198" t="s">
        <v>425</v>
      </c>
      <c r="C251" s="197" t="s">
        <v>99</v>
      </c>
      <c r="D251" s="199">
        <v>6012</v>
      </c>
      <c r="H251" s="231" t="s">
        <v>444</v>
      </c>
      <c r="I251" s="232">
        <v>50617.25</v>
      </c>
      <c r="K251" s="275">
        <v>7</v>
      </c>
      <c r="L251" s="198" t="s">
        <v>582</v>
      </c>
      <c r="M251" s="197" t="s">
        <v>99</v>
      </c>
      <c r="N251" s="267"/>
      <c r="O251" s="267"/>
      <c r="P251" s="267"/>
      <c r="Q251" s="267"/>
      <c r="R251" s="267"/>
    </row>
    <row r="252" spans="1:18" ht="11.85" customHeight="1" x14ac:dyDescent="0.25">
      <c r="A252" s="264"/>
      <c r="B252" s="198" t="s">
        <v>428</v>
      </c>
      <c r="C252" s="197" t="s">
        <v>99</v>
      </c>
      <c r="D252" s="199">
        <v>2304</v>
      </c>
      <c r="H252" s="231" t="s">
        <v>446</v>
      </c>
      <c r="I252" s="232">
        <v>2684032.0299999998</v>
      </c>
      <c r="K252" s="275">
        <v>8</v>
      </c>
      <c r="L252" s="198" t="s">
        <v>584</v>
      </c>
      <c r="M252" s="197" t="s">
        <v>99</v>
      </c>
      <c r="N252" s="267"/>
      <c r="O252" s="267"/>
      <c r="P252" s="267"/>
      <c r="Q252" s="267"/>
      <c r="R252" s="267"/>
    </row>
    <row r="253" spans="1:18" ht="11.85" customHeight="1" x14ac:dyDescent="0.25">
      <c r="A253" s="264"/>
      <c r="B253" s="198" t="s">
        <v>429</v>
      </c>
      <c r="C253" s="197" t="s">
        <v>99</v>
      </c>
      <c r="D253" s="199">
        <v>8572</v>
      </c>
      <c r="H253" s="231" t="s">
        <v>448</v>
      </c>
      <c r="I253" s="232">
        <v>1018.51</v>
      </c>
      <c r="K253" s="275">
        <v>9</v>
      </c>
      <c r="L253" s="198" t="s">
        <v>138</v>
      </c>
      <c r="M253" s="197" t="s">
        <v>99</v>
      </c>
      <c r="N253" s="267"/>
      <c r="O253" s="267"/>
      <c r="P253" s="267"/>
      <c r="Q253" s="267"/>
      <c r="R253" s="267"/>
    </row>
    <row r="254" spans="1:18" ht="11.85" customHeight="1" x14ac:dyDescent="0.25">
      <c r="A254" s="264"/>
      <c r="B254" s="198" t="s">
        <v>431</v>
      </c>
      <c r="C254" s="197" t="s">
        <v>99</v>
      </c>
      <c r="D254" s="214">
        <v>899</v>
      </c>
      <c r="H254" s="231" t="s">
        <v>450</v>
      </c>
      <c r="I254" s="232">
        <v>1243096.72</v>
      </c>
      <c r="K254" s="275">
        <v>10</v>
      </c>
      <c r="L254" s="189" t="s">
        <v>587</v>
      </c>
      <c r="M254" s="188" t="s">
        <v>99</v>
      </c>
      <c r="N254" s="262">
        <v>369395</v>
      </c>
      <c r="O254" s="186"/>
      <c r="P254" s="262">
        <v>180634</v>
      </c>
      <c r="Q254" s="262">
        <v>165120</v>
      </c>
      <c r="R254" s="262">
        <v>23641</v>
      </c>
    </row>
    <row r="255" spans="1:18" ht="11.85" customHeight="1" x14ac:dyDescent="0.25">
      <c r="A255" s="264"/>
      <c r="B255" s="198" t="s">
        <v>432</v>
      </c>
      <c r="C255" s="197" t="s">
        <v>99</v>
      </c>
      <c r="D255" s="199">
        <v>1345</v>
      </c>
      <c r="H255" s="231" t="s">
        <v>452</v>
      </c>
      <c r="I255" s="232">
        <v>33560.33</v>
      </c>
      <c r="K255" s="275">
        <v>11</v>
      </c>
      <c r="L255" s="189" t="s">
        <v>589</v>
      </c>
      <c r="M255" s="188" t="s">
        <v>99</v>
      </c>
      <c r="N255" s="186"/>
      <c r="O255" s="186"/>
      <c r="P255" s="186"/>
      <c r="Q255" s="186"/>
      <c r="R255" s="186"/>
    </row>
    <row r="256" spans="1:18" ht="11.85" customHeight="1" x14ac:dyDescent="0.25">
      <c r="A256" s="264" t="s">
        <v>67</v>
      </c>
      <c r="B256" s="198" t="s">
        <v>672</v>
      </c>
      <c r="C256" s="265" t="s">
        <v>99</v>
      </c>
      <c r="D256" s="276">
        <v>48</v>
      </c>
      <c r="H256" s="231" t="s">
        <v>454</v>
      </c>
      <c r="I256" s="232">
        <v>1398053.71</v>
      </c>
      <c r="K256" s="197"/>
      <c r="L256" s="211" t="s">
        <v>673</v>
      </c>
      <c r="M256" s="197"/>
      <c r="N256" s="267"/>
      <c r="O256" s="267"/>
      <c r="P256" s="267"/>
      <c r="Q256" s="267"/>
      <c r="R256" s="267"/>
    </row>
    <row r="257" spans="1:18" s="244" customFormat="1" ht="11.85" customHeight="1" x14ac:dyDescent="0.25">
      <c r="A257" s="263" t="s">
        <v>23</v>
      </c>
      <c r="B257" s="189" t="s">
        <v>114</v>
      </c>
      <c r="C257" s="188" t="s">
        <v>99</v>
      </c>
      <c r="D257" s="262">
        <v>238402</v>
      </c>
      <c r="H257" s="231" t="s">
        <v>456</v>
      </c>
      <c r="I257" s="232">
        <v>4327.6400000000003</v>
      </c>
      <c r="K257" s="197"/>
      <c r="L257" s="198" t="s">
        <v>674</v>
      </c>
      <c r="M257" s="197" t="s">
        <v>99</v>
      </c>
      <c r="N257" s="267"/>
      <c r="O257" s="267"/>
      <c r="P257" s="267"/>
      <c r="Q257" s="267"/>
      <c r="R257" s="267"/>
    </row>
    <row r="258" spans="1:18" s="244" customFormat="1" ht="11.85" customHeight="1" x14ac:dyDescent="0.25">
      <c r="A258" s="263" t="s">
        <v>68</v>
      </c>
      <c r="B258" s="189" t="s">
        <v>115</v>
      </c>
      <c r="C258" s="188" t="s">
        <v>99</v>
      </c>
      <c r="D258" s="262">
        <v>57734</v>
      </c>
      <c r="H258" s="231" t="s">
        <v>458</v>
      </c>
      <c r="I258" s="232">
        <v>11342.31</v>
      </c>
      <c r="K258" s="197"/>
      <c r="L258" s="198" t="s">
        <v>675</v>
      </c>
      <c r="M258" s="197" t="s">
        <v>99</v>
      </c>
      <c r="N258" s="267"/>
      <c r="O258" s="267"/>
      <c r="P258" s="267"/>
      <c r="Q258" s="267"/>
      <c r="R258" s="267"/>
    </row>
    <row r="259" spans="1:18" ht="11.85" customHeight="1" x14ac:dyDescent="0.25">
      <c r="A259" s="264" t="s">
        <v>69</v>
      </c>
      <c r="B259" s="198" t="s">
        <v>116</v>
      </c>
      <c r="C259" s="265" t="s">
        <v>99</v>
      </c>
      <c r="D259" s="266">
        <v>37238</v>
      </c>
      <c r="E259" s="200">
        <f>I244</f>
        <v>37237905.43</v>
      </c>
      <c r="H259" s="231" t="s">
        <v>460</v>
      </c>
      <c r="I259" s="232">
        <v>108246.73</v>
      </c>
      <c r="K259" s="197"/>
      <c r="L259" s="198" t="s">
        <v>676</v>
      </c>
      <c r="M259" s="197" t="s">
        <v>99</v>
      </c>
      <c r="N259" s="267"/>
      <c r="O259" s="267"/>
      <c r="P259" s="267"/>
      <c r="Q259" s="267"/>
      <c r="R259" s="267"/>
    </row>
    <row r="260" spans="1:18" ht="11.85" customHeight="1" x14ac:dyDescent="0.25">
      <c r="A260" s="264" t="s">
        <v>71</v>
      </c>
      <c r="B260" s="189" t="s">
        <v>62</v>
      </c>
      <c r="C260" s="265" t="s">
        <v>99</v>
      </c>
      <c r="D260" s="262">
        <v>3568</v>
      </c>
      <c r="H260" s="231" t="s">
        <v>462</v>
      </c>
      <c r="I260" s="232">
        <v>378956.85</v>
      </c>
      <c r="K260" s="197"/>
      <c r="L260" s="198" t="s">
        <v>677</v>
      </c>
      <c r="M260" s="197" t="s">
        <v>99</v>
      </c>
      <c r="N260" s="267"/>
      <c r="O260" s="267"/>
      <c r="P260" s="267"/>
      <c r="Q260" s="267"/>
      <c r="R260" s="267"/>
    </row>
    <row r="261" spans="1:18" ht="11.85" customHeight="1" x14ac:dyDescent="0.25">
      <c r="A261" s="264"/>
      <c r="B261" s="211" t="s">
        <v>360</v>
      </c>
      <c r="C261" s="197"/>
      <c r="D261" s="197"/>
      <c r="H261" s="231" t="s">
        <v>464</v>
      </c>
      <c r="I261" s="232">
        <v>61540.5</v>
      </c>
      <c r="K261" s="197"/>
      <c r="L261" s="198" t="s">
        <v>678</v>
      </c>
      <c r="M261" s="197" t="s">
        <v>99</v>
      </c>
      <c r="N261" s="267"/>
      <c r="O261" s="267"/>
      <c r="P261" s="267"/>
      <c r="Q261" s="267"/>
      <c r="R261" s="267"/>
    </row>
    <row r="262" spans="1:18" ht="11.85" customHeight="1" x14ac:dyDescent="0.25">
      <c r="A262" s="264"/>
      <c r="B262" s="198" t="s">
        <v>488</v>
      </c>
      <c r="C262" s="197" t="s">
        <v>99</v>
      </c>
      <c r="D262" s="199">
        <v>2525</v>
      </c>
      <c r="E262" s="200">
        <f>I245</f>
        <v>2525487.7400000002</v>
      </c>
      <c r="H262" s="237" t="s">
        <v>466</v>
      </c>
      <c r="I262" s="238">
        <v>415309.51</v>
      </c>
      <c r="K262" s="275">
        <v>12</v>
      </c>
      <c r="L262" s="189" t="s">
        <v>591</v>
      </c>
      <c r="M262" s="188" t="s">
        <v>99</v>
      </c>
      <c r="N262" s="186"/>
      <c r="O262" s="186"/>
      <c r="P262" s="186"/>
      <c r="Q262" s="186"/>
      <c r="R262" s="186"/>
    </row>
    <row r="263" spans="1:18" ht="11.85" customHeight="1" x14ac:dyDescent="0.25">
      <c r="A263" s="264"/>
      <c r="B263" s="198" t="s">
        <v>490</v>
      </c>
      <c r="C263" s="197" t="s">
        <v>99</v>
      </c>
      <c r="D263" s="214">
        <v>687</v>
      </c>
      <c r="E263" s="200">
        <f>I246</f>
        <v>687091.73</v>
      </c>
      <c r="H263" s="239" t="s">
        <v>442</v>
      </c>
      <c r="I263" s="240"/>
      <c r="K263" s="197"/>
      <c r="L263" s="211" t="s">
        <v>673</v>
      </c>
      <c r="M263" s="197"/>
      <c r="N263" s="267"/>
      <c r="O263" s="267"/>
      <c r="P263" s="267"/>
      <c r="Q263" s="267"/>
      <c r="R263" s="267"/>
    </row>
    <row r="264" spans="1:18" ht="11.85" customHeight="1" x14ac:dyDescent="0.25">
      <c r="A264" s="264"/>
      <c r="B264" s="198" t="s">
        <v>491</v>
      </c>
      <c r="C264" s="197" t="s">
        <v>99</v>
      </c>
      <c r="D264" s="214">
        <v>356</v>
      </c>
      <c r="E264" s="200">
        <f>I247</f>
        <v>355582.49</v>
      </c>
      <c r="H264" s="231" t="s">
        <v>470</v>
      </c>
      <c r="I264" s="232">
        <v>223266.59</v>
      </c>
      <c r="K264" s="197"/>
      <c r="L264" s="198" t="s">
        <v>679</v>
      </c>
      <c r="M264" s="197" t="s">
        <v>99</v>
      </c>
      <c r="N264" s="267"/>
      <c r="O264" s="267"/>
      <c r="P264" s="267"/>
      <c r="Q264" s="267"/>
      <c r="R264" s="267"/>
    </row>
    <row r="265" spans="1:18" ht="11.85" customHeight="1" x14ac:dyDescent="0.25">
      <c r="A265" s="264" t="s">
        <v>72</v>
      </c>
      <c r="B265" s="198" t="s">
        <v>22</v>
      </c>
      <c r="C265" s="265" t="s">
        <v>99</v>
      </c>
      <c r="D265" s="266">
        <v>5534</v>
      </c>
      <c r="E265" s="200">
        <f>I249</f>
        <v>5534295.2199999997</v>
      </c>
      <c r="H265" s="231" t="s">
        <v>473</v>
      </c>
      <c r="I265" s="232">
        <v>3263.43</v>
      </c>
      <c r="K265" s="197"/>
      <c r="L265" s="198" t="s">
        <v>680</v>
      </c>
      <c r="M265" s="197" t="s">
        <v>99</v>
      </c>
      <c r="N265" s="267"/>
      <c r="O265" s="267"/>
      <c r="P265" s="267"/>
      <c r="Q265" s="267"/>
      <c r="R265" s="267"/>
    </row>
    <row r="266" spans="1:18" s="279" customFormat="1" ht="11.85" customHeight="1" x14ac:dyDescent="0.25">
      <c r="A266" s="277" t="s">
        <v>73</v>
      </c>
      <c r="B266" s="211" t="s">
        <v>117</v>
      </c>
      <c r="C266" s="233" t="s">
        <v>99</v>
      </c>
      <c r="D266" s="278">
        <v>11394</v>
      </c>
      <c r="H266" s="231" t="s">
        <v>476</v>
      </c>
      <c r="I266" s="232">
        <v>36617.33</v>
      </c>
      <c r="K266" s="197"/>
      <c r="L266" s="198" t="s">
        <v>681</v>
      </c>
      <c r="M266" s="197" t="s">
        <v>99</v>
      </c>
      <c r="N266" s="267"/>
      <c r="O266" s="267"/>
      <c r="P266" s="267"/>
      <c r="Q266" s="267"/>
      <c r="R266" s="267"/>
    </row>
    <row r="267" spans="1:18" ht="11.85" customHeight="1" x14ac:dyDescent="0.25">
      <c r="A267" s="264" t="s">
        <v>74</v>
      </c>
      <c r="B267" s="198" t="s">
        <v>25</v>
      </c>
      <c r="C267" s="265" t="s">
        <v>99</v>
      </c>
      <c r="D267" s="276">
        <v>606</v>
      </c>
      <c r="E267" s="200">
        <f>I248</f>
        <v>605550.55000000005</v>
      </c>
      <c r="H267" s="231" t="s">
        <v>479</v>
      </c>
      <c r="I267" s="232">
        <v>9516.17</v>
      </c>
      <c r="K267" s="197"/>
      <c r="L267" s="198" t="s">
        <v>682</v>
      </c>
      <c r="M267" s="197" t="s">
        <v>99</v>
      </c>
      <c r="N267" s="267"/>
      <c r="O267" s="267"/>
      <c r="P267" s="267"/>
      <c r="Q267" s="267"/>
      <c r="R267" s="267"/>
    </row>
    <row r="268" spans="1:18" ht="11.85" customHeight="1" x14ac:dyDescent="0.25">
      <c r="A268" s="264" t="s">
        <v>75</v>
      </c>
      <c r="B268" s="198" t="s">
        <v>26</v>
      </c>
      <c r="C268" s="265" t="s">
        <v>99</v>
      </c>
      <c r="D268" s="276">
        <v>379</v>
      </c>
      <c r="E268" s="200">
        <f>I260</f>
        <v>378956.85</v>
      </c>
      <c r="H268" s="231" t="s">
        <v>480</v>
      </c>
      <c r="I268" s="232">
        <v>142646.01</v>
      </c>
      <c r="K268" s="275">
        <v>13</v>
      </c>
      <c r="L268" s="198" t="s">
        <v>594</v>
      </c>
      <c r="M268" s="197" t="s">
        <v>99</v>
      </c>
      <c r="N268" s="267"/>
      <c r="O268" s="267"/>
      <c r="P268" s="267"/>
      <c r="Q268" s="267"/>
      <c r="R268" s="267"/>
    </row>
    <row r="269" spans="1:18" ht="11.85" customHeight="1" x14ac:dyDescent="0.25">
      <c r="A269" s="264" t="s">
        <v>76</v>
      </c>
      <c r="B269" s="198" t="s">
        <v>118</v>
      </c>
      <c r="C269" s="265" t="s">
        <v>99</v>
      </c>
      <c r="D269" s="276">
        <v>415</v>
      </c>
      <c r="H269" s="231" t="s">
        <v>482</v>
      </c>
      <c r="I269" s="232">
        <v>502017.39</v>
      </c>
      <c r="K269" s="275">
        <v>14</v>
      </c>
      <c r="L269" s="198" t="s">
        <v>596</v>
      </c>
      <c r="M269" s="197" t="s">
        <v>99</v>
      </c>
      <c r="N269" s="267"/>
      <c r="O269" s="267"/>
      <c r="P269" s="267"/>
      <c r="Q269" s="267"/>
      <c r="R269" s="267"/>
    </row>
    <row r="270" spans="1:18" ht="11.85" customHeight="1" x14ac:dyDescent="0.25">
      <c r="A270" s="264"/>
      <c r="B270" s="211" t="s">
        <v>360</v>
      </c>
      <c r="C270" s="197"/>
      <c r="D270" s="197"/>
      <c r="H270" s="231" t="s">
        <v>484</v>
      </c>
      <c r="I270" s="232">
        <v>639406.96</v>
      </c>
      <c r="K270" s="275">
        <v>15</v>
      </c>
      <c r="L270" s="198" t="s">
        <v>600</v>
      </c>
      <c r="M270" s="197" t="s">
        <v>99</v>
      </c>
      <c r="N270" s="267"/>
      <c r="O270" s="267"/>
      <c r="P270" s="267"/>
      <c r="Q270" s="267"/>
      <c r="R270" s="267"/>
    </row>
    <row r="271" spans="1:18" ht="11.85" customHeight="1" x14ac:dyDescent="0.25">
      <c r="A271" s="264"/>
      <c r="B271" s="198" t="s">
        <v>506</v>
      </c>
      <c r="C271" s="197" t="s">
        <v>99</v>
      </c>
      <c r="D271" s="214">
        <v>223</v>
      </c>
      <c r="E271" s="200">
        <f>I264</f>
        <v>223266.59</v>
      </c>
      <c r="H271" s="231" t="s">
        <v>486</v>
      </c>
      <c r="I271" s="232">
        <v>78630.7</v>
      </c>
      <c r="K271" s="275">
        <v>16</v>
      </c>
      <c r="L271" s="189" t="s">
        <v>598</v>
      </c>
      <c r="M271" s="197" t="s">
        <v>99</v>
      </c>
      <c r="N271" s="262">
        <v>352728</v>
      </c>
      <c r="O271" s="186"/>
      <c r="P271" s="262">
        <v>172484</v>
      </c>
      <c r="Q271" s="262">
        <v>157669</v>
      </c>
      <c r="R271" s="262">
        <v>22575</v>
      </c>
    </row>
    <row r="272" spans="1:18" ht="11.85" customHeight="1" x14ac:dyDescent="0.25">
      <c r="A272" s="264"/>
      <c r="B272" s="198" t="s">
        <v>507</v>
      </c>
      <c r="C272" s="197" t="s">
        <v>99</v>
      </c>
      <c r="D272" s="214">
        <v>3</v>
      </c>
      <c r="E272" s="200">
        <f>I265</f>
        <v>3263.43</v>
      </c>
      <c r="H272" s="231" t="s">
        <v>487</v>
      </c>
      <c r="I272" s="232">
        <v>675855.77</v>
      </c>
      <c r="K272" s="197"/>
      <c r="L272" s="211" t="s">
        <v>360</v>
      </c>
      <c r="M272" s="197"/>
      <c r="N272" s="267"/>
      <c r="O272" s="267"/>
      <c r="P272" s="267"/>
      <c r="Q272" s="267"/>
      <c r="R272" s="267"/>
    </row>
    <row r="273" spans="1:18" ht="11.85" customHeight="1" x14ac:dyDescent="0.25">
      <c r="A273" s="264"/>
      <c r="B273" s="198" t="s">
        <v>509</v>
      </c>
      <c r="C273" s="197" t="s">
        <v>99</v>
      </c>
      <c r="D273" s="214">
        <v>37</v>
      </c>
      <c r="E273" s="200">
        <f>I266</f>
        <v>36617.33</v>
      </c>
      <c r="H273" s="237" t="s">
        <v>489</v>
      </c>
      <c r="I273" s="238">
        <v>72165.11</v>
      </c>
      <c r="K273" s="197"/>
      <c r="L273" s="198" t="s">
        <v>683</v>
      </c>
      <c r="M273" s="197" t="s">
        <v>99</v>
      </c>
      <c r="N273" s="276">
        <v>92</v>
      </c>
      <c r="O273" s="267"/>
      <c r="P273" s="276">
        <v>45</v>
      </c>
      <c r="Q273" s="276">
        <v>41</v>
      </c>
      <c r="R273" s="276">
        <v>6</v>
      </c>
    </row>
    <row r="274" spans="1:18" ht="11.85" customHeight="1" x14ac:dyDescent="0.25">
      <c r="A274" s="264"/>
      <c r="B274" s="198" t="s">
        <v>511</v>
      </c>
      <c r="C274" s="197" t="s">
        <v>99</v>
      </c>
      <c r="D274" s="214">
        <v>10</v>
      </c>
      <c r="E274" s="200">
        <f>I267</f>
        <v>9516.17</v>
      </c>
      <c r="H274" s="239" t="s">
        <v>442</v>
      </c>
      <c r="I274" s="240"/>
      <c r="K274" s="197"/>
      <c r="L274" s="198" t="s">
        <v>684</v>
      </c>
      <c r="M274" s="197" t="s">
        <v>99</v>
      </c>
      <c r="N274" s="276">
        <v>115</v>
      </c>
      <c r="O274" s="267"/>
      <c r="P274" s="276">
        <v>56</v>
      </c>
      <c r="Q274" s="276">
        <v>51</v>
      </c>
      <c r="R274" s="276">
        <v>7</v>
      </c>
    </row>
    <row r="275" spans="1:18" ht="11.85" customHeight="1" x14ac:dyDescent="0.25">
      <c r="A275" s="264"/>
      <c r="B275" s="198" t="s">
        <v>512</v>
      </c>
      <c r="C275" s="197" t="s">
        <v>99</v>
      </c>
      <c r="D275" s="214">
        <v>143</v>
      </c>
      <c r="E275" s="200">
        <f>I268</f>
        <v>142646.01</v>
      </c>
      <c r="H275" s="231" t="s">
        <v>492</v>
      </c>
      <c r="I275" s="232">
        <v>1982.73</v>
      </c>
      <c r="K275" s="197"/>
      <c r="L275" s="198" t="s">
        <v>685</v>
      </c>
      <c r="M275" s="197" t="s">
        <v>99</v>
      </c>
      <c r="N275" s="266">
        <v>352521</v>
      </c>
      <c r="O275" s="267"/>
      <c r="P275" s="266">
        <v>172383</v>
      </c>
      <c r="Q275" s="266">
        <v>157577</v>
      </c>
      <c r="R275" s="266">
        <v>22561</v>
      </c>
    </row>
    <row r="276" spans="1:18" ht="11.85" customHeight="1" x14ac:dyDescent="0.25">
      <c r="A276" s="264" t="s">
        <v>77</v>
      </c>
      <c r="B276" s="198" t="s">
        <v>48</v>
      </c>
      <c r="C276" s="265" t="s">
        <v>99</v>
      </c>
      <c r="D276" s="276">
        <v>62</v>
      </c>
      <c r="E276" s="200">
        <f>I261</f>
        <v>61540.5</v>
      </c>
      <c r="H276" s="231" t="s">
        <v>494</v>
      </c>
      <c r="I276" s="232">
        <v>25161.33</v>
      </c>
      <c r="K276" s="197"/>
      <c r="L276" s="211" t="s">
        <v>686</v>
      </c>
      <c r="M276" s="197"/>
      <c r="N276" s="267"/>
      <c r="O276" s="267"/>
      <c r="P276" s="267"/>
      <c r="Q276" s="267"/>
      <c r="R276" s="267"/>
    </row>
    <row r="277" spans="1:18" ht="11.85" customHeight="1" x14ac:dyDescent="0.25">
      <c r="A277" s="264" t="s">
        <v>78</v>
      </c>
      <c r="B277" s="198" t="s">
        <v>28</v>
      </c>
      <c r="C277" s="265" t="s">
        <v>99</v>
      </c>
      <c r="D277" s="276">
        <v>502</v>
      </c>
      <c r="E277" s="200">
        <f>I269</f>
        <v>502017.39</v>
      </c>
      <c r="H277" s="231" t="s">
        <v>497</v>
      </c>
      <c r="I277" s="232">
        <v>45021.04</v>
      </c>
      <c r="K277" s="197"/>
      <c r="L277" s="198" t="s">
        <v>687</v>
      </c>
      <c r="M277" s="197" t="s">
        <v>99</v>
      </c>
      <c r="N277" s="266">
        <v>352521</v>
      </c>
      <c r="O277" s="267"/>
      <c r="P277" s="266">
        <v>172383</v>
      </c>
      <c r="Q277" s="266">
        <v>157577</v>
      </c>
      <c r="R277" s="266">
        <v>22561</v>
      </c>
    </row>
    <row r="278" spans="1:18" ht="22.35" customHeight="1" x14ac:dyDescent="0.25">
      <c r="A278" s="264" t="s">
        <v>79</v>
      </c>
      <c r="B278" s="198" t="s">
        <v>119</v>
      </c>
      <c r="C278" s="265" t="s">
        <v>99</v>
      </c>
      <c r="D278" s="276">
        <v>639</v>
      </c>
      <c r="E278" s="200">
        <f>I270</f>
        <v>639406.96</v>
      </c>
      <c r="H278" s="231" t="s">
        <v>499</v>
      </c>
      <c r="I278" s="232">
        <v>3054971.53</v>
      </c>
      <c r="K278" s="275">
        <v>17</v>
      </c>
      <c r="L278" s="189" t="s">
        <v>688</v>
      </c>
      <c r="M278" s="188" t="s">
        <v>99</v>
      </c>
      <c r="N278" s="262">
        <v>16667</v>
      </c>
      <c r="O278" s="186"/>
      <c r="P278" s="262">
        <v>8150</v>
      </c>
      <c r="Q278" s="262">
        <v>7450</v>
      </c>
      <c r="R278" s="262">
        <v>1067</v>
      </c>
    </row>
    <row r="279" spans="1:18" ht="11.85" customHeight="1" x14ac:dyDescent="0.25">
      <c r="A279" s="264" t="s">
        <v>80</v>
      </c>
      <c r="B279" s="198" t="s">
        <v>29</v>
      </c>
      <c r="C279" s="265" t="s">
        <v>99</v>
      </c>
      <c r="D279" s="276">
        <v>79</v>
      </c>
      <c r="E279" s="200">
        <f>I271</f>
        <v>78630.7</v>
      </c>
      <c r="H279" s="231" t="s">
        <v>502</v>
      </c>
      <c r="I279" s="232">
        <v>206986.63</v>
      </c>
      <c r="K279" s="197"/>
      <c r="L279" s="198" t="s">
        <v>689</v>
      </c>
      <c r="M279" s="197" t="s">
        <v>99</v>
      </c>
      <c r="N279" s="267"/>
      <c r="O279" s="267"/>
      <c r="P279" s="267"/>
      <c r="Q279" s="267"/>
      <c r="R279" s="267"/>
    </row>
    <row r="280" spans="1:18" ht="11.85" customHeight="1" x14ac:dyDescent="0.25">
      <c r="A280" s="264" t="s">
        <v>81</v>
      </c>
      <c r="B280" s="198" t="s">
        <v>30</v>
      </c>
      <c r="C280" s="265" t="s">
        <v>99</v>
      </c>
      <c r="D280" s="267"/>
      <c r="H280" s="231" t="s">
        <v>504</v>
      </c>
      <c r="I280" s="232">
        <v>2461873.64</v>
      </c>
      <c r="K280" s="197"/>
      <c r="L280" s="198" t="s">
        <v>690</v>
      </c>
      <c r="M280" s="197" t="s">
        <v>99</v>
      </c>
      <c r="N280" s="266">
        <v>16667</v>
      </c>
      <c r="O280" s="267"/>
      <c r="P280" s="266">
        <v>8150</v>
      </c>
      <c r="Q280" s="266">
        <v>7450</v>
      </c>
      <c r="R280" s="266">
        <v>1067</v>
      </c>
    </row>
    <row r="281" spans="1:18" ht="11.85" customHeight="1" thickBot="1" x14ac:dyDescent="0.3">
      <c r="A281" s="264" t="s">
        <v>82</v>
      </c>
      <c r="B281" s="198" t="s">
        <v>83</v>
      </c>
      <c r="C281" s="265" t="s">
        <v>99</v>
      </c>
      <c r="D281" s="276">
        <v>676</v>
      </c>
      <c r="E281" s="200">
        <f>I272</f>
        <v>675855.77</v>
      </c>
      <c r="H281" s="237" t="s">
        <v>505</v>
      </c>
      <c r="I281" s="238">
        <v>946607.92</v>
      </c>
      <c r="J281" s="280">
        <f>I283+I284+I307+I308+I309+I310+I311+I312</f>
        <v>979205.76</v>
      </c>
    </row>
    <row r="282" spans="1:18" ht="11.85" customHeight="1" x14ac:dyDescent="0.25">
      <c r="A282" s="264" t="s">
        <v>84</v>
      </c>
      <c r="B282" s="189" t="s">
        <v>31</v>
      </c>
      <c r="C282" s="188" t="s">
        <v>99</v>
      </c>
      <c r="D282" s="268">
        <v>72</v>
      </c>
      <c r="H282" s="239" t="s">
        <v>442</v>
      </c>
      <c r="I282" s="240"/>
      <c r="K282" s="281" t="s">
        <v>691</v>
      </c>
    </row>
    <row r="283" spans="1:18" ht="11.85" customHeight="1" thickBot="1" x14ac:dyDescent="0.3">
      <c r="A283" s="264"/>
      <c r="B283" s="211" t="s">
        <v>360</v>
      </c>
      <c r="C283" s="197"/>
      <c r="D283" s="197"/>
      <c r="H283" s="231" t="s">
        <v>508</v>
      </c>
      <c r="I283" s="282">
        <v>306.26</v>
      </c>
      <c r="K283" s="283"/>
      <c r="L283" s="284" t="s">
        <v>692</v>
      </c>
    </row>
    <row r="284" spans="1:18" ht="11.85" customHeight="1" x14ac:dyDescent="0.25">
      <c r="A284" s="264"/>
      <c r="B284" s="198" t="s">
        <v>528</v>
      </c>
      <c r="C284" s="197" t="s">
        <v>99</v>
      </c>
      <c r="D284" s="214">
        <v>2</v>
      </c>
      <c r="E284" s="200">
        <f>I275</f>
        <v>1982.73</v>
      </c>
      <c r="H284" s="237" t="s">
        <v>510</v>
      </c>
      <c r="I284" s="285">
        <v>748696.75</v>
      </c>
      <c r="K284" s="286" t="s">
        <v>693</v>
      </c>
      <c r="L284" s="241">
        <v>63611</v>
      </c>
    </row>
    <row r="285" spans="1:18" ht="11.85" customHeight="1" x14ac:dyDescent="0.25">
      <c r="A285" s="264"/>
      <c r="B285" s="198" t="s">
        <v>530</v>
      </c>
      <c r="C285" s="197" t="s">
        <v>99</v>
      </c>
      <c r="D285" s="214">
        <v>25</v>
      </c>
      <c r="E285" s="200">
        <f>I276</f>
        <v>25161.33</v>
      </c>
      <c r="H285" s="239" t="s">
        <v>442</v>
      </c>
      <c r="I285" s="240"/>
      <c r="K285" s="286" t="s">
        <v>609</v>
      </c>
      <c r="L285" s="241">
        <v>3434.98</v>
      </c>
    </row>
    <row r="286" spans="1:18" ht="11.85" customHeight="1" x14ac:dyDescent="0.25">
      <c r="A286" s="264"/>
      <c r="B286" s="198" t="s">
        <v>532</v>
      </c>
      <c r="C286" s="197" t="s">
        <v>99</v>
      </c>
      <c r="D286" s="214">
        <v>45</v>
      </c>
      <c r="E286" s="200">
        <f>I277</f>
        <v>45021.04</v>
      </c>
      <c r="H286" s="247" t="s">
        <v>513</v>
      </c>
      <c r="I286" s="287">
        <v>352.63</v>
      </c>
      <c r="K286" s="286" t="s">
        <v>694</v>
      </c>
      <c r="L286" s="241">
        <v>352521166.68000001</v>
      </c>
    </row>
    <row r="287" spans="1:18" ht="11.85" customHeight="1" x14ac:dyDescent="0.25">
      <c r="A287" s="264" t="s">
        <v>85</v>
      </c>
      <c r="B287" s="198" t="s">
        <v>120</v>
      </c>
      <c r="C287" s="265" t="s">
        <v>99</v>
      </c>
      <c r="D287" s="266">
        <v>3055</v>
      </c>
      <c r="E287" s="200">
        <f>I278</f>
        <v>3054971.53</v>
      </c>
      <c r="H287" s="247" t="s">
        <v>515</v>
      </c>
      <c r="I287" s="248">
        <v>33486.14</v>
      </c>
      <c r="K287" s="286" t="s">
        <v>695</v>
      </c>
      <c r="L287" s="241">
        <v>91808.56</v>
      </c>
    </row>
    <row r="288" spans="1:18" ht="11.85" customHeight="1" x14ac:dyDescent="0.25">
      <c r="A288" s="264" t="s">
        <v>86</v>
      </c>
      <c r="B288" s="198" t="s">
        <v>33</v>
      </c>
      <c r="C288" s="265" t="s">
        <v>99</v>
      </c>
      <c r="D288" s="276">
        <v>207</v>
      </c>
      <c r="E288" s="200">
        <f>I279</f>
        <v>206986.63</v>
      </c>
      <c r="H288" s="247" t="s">
        <v>518</v>
      </c>
      <c r="I288" s="248">
        <v>114573.04</v>
      </c>
      <c r="K288" s="286" t="s">
        <v>696</v>
      </c>
      <c r="L288" s="241">
        <v>114674.47</v>
      </c>
    </row>
    <row r="289" spans="1:12" ht="11.85" customHeight="1" x14ac:dyDescent="0.25">
      <c r="A289" s="264" t="s">
        <v>87</v>
      </c>
      <c r="B289" s="198" t="s">
        <v>34</v>
      </c>
      <c r="C289" s="265" t="s">
        <v>99</v>
      </c>
      <c r="D289" s="267"/>
      <c r="H289" s="247" t="s">
        <v>520</v>
      </c>
      <c r="I289" s="287">
        <v>848.06</v>
      </c>
      <c r="K289" s="286" t="s">
        <v>697</v>
      </c>
      <c r="L289" s="241">
        <v>16667398.060000001</v>
      </c>
    </row>
    <row r="290" spans="1:12" ht="11.85" customHeight="1" x14ac:dyDescent="0.25">
      <c r="A290" s="264" t="s">
        <v>88</v>
      </c>
      <c r="B290" s="198" t="s">
        <v>121</v>
      </c>
      <c r="C290" s="265" t="s">
        <v>99</v>
      </c>
      <c r="D290" s="266">
        <v>2462</v>
      </c>
      <c r="E290" s="200">
        <f>I280</f>
        <v>2461873.64</v>
      </c>
      <c r="H290" s="247" t="s">
        <v>522</v>
      </c>
      <c r="I290" s="248">
        <v>8315.32</v>
      </c>
      <c r="K290" s="286" t="s">
        <v>618</v>
      </c>
      <c r="L290" s="241">
        <v>2003.84</v>
      </c>
    </row>
    <row r="291" spans="1:12" ht="11.85" customHeight="1" thickBot="1" x14ac:dyDescent="0.3">
      <c r="A291" s="264" t="s">
        <v>89</v>
      </c>
      <c r="B291" s="189" t="s">
        <v>122</v>
      </c>
      <c r="C291" s="188" t="s">
        <v>99</v>
      </c>
      <c r="D291" s="268">
        <v>947</v>
      </c>
      <c r="H291" s="247" t="s">
        <v>524</v>
      </c>
      <c r="I291" s="248">
        <v>116895.85</v>
      </c>
      <c r="K291" s="286" t="s">
        <v>624</v>
      </c>
      <c r="L291" s="288">
        <v>954.17</v>
      </c>
    </row>
    <row r="292" spans="1:12" ht="11.85" customHeight="1" thickBot="1" x14ac:dyDescent="0.3">
      <c r="A292" s="264"/>
      <c r="B292" s="211" t="s">
        <v>360</v>
      </c>
      <c r="C292" s="197"/>
      <c r="D292" s="197"/>
      <c r="E292" s="280">
        <f>I283</f>
        <v>306.26</v>
      </c>
      <c r="H292" s="247" t="s">
        <v>526</v>
      </c>
      <c r="I292" s="248">
        <v>1681.56</v>
      </c>
      <c r="K292" s="289" t="s">
        <v>630</v>
      </c>
      <c r="L292" s="290"/>
    </row>
    <row r="293" spans="1:12" ht="11.85" customHeight="1" x14ac:dyDescent="0.25">
      <c r="A293" s="264"/>
      <c r="B293" s="198" t="s">
        <v>546</v>
      </c>
      <c r="C293" s="197" t="s">
        <v>99</v>
      </c>
      <c r="D293" s="197"/>
      <c r="H293" s="247" t="s">
        <v>527</v>
      </c>
      <c r="I293" s="248">
        <v>3407.18</v>
      </c>
      <c r="K293" s="289" t="s">
        <v>633</v>
      </c>
      <c r="L293" s="290" t="s">
        <v>698</v>
      </c>
    </row>
    <row r="294" spans="1:12" ht="11.85" customHeight="1" x14ac:dyDescent="0.25">
      <c r="A294" s="264"/>
      <c r="B294" s="198" t="s">
        <v>548</v>
      </c>
      <c r="C294" s="197" t="s">
        <v>99</v>
      </c>
      <c r="D294" s="291">
        <v>749</v>
      </c>
      <c r="E294" s="200">
        <f>I284</f>
        <v>748696.75</v>
      </c>
      <c r="H294" s="247" t="s">
        <v>529</v>
      </c>
      <c r="I294" s="248">
        <v>71923.73</v>
      </c>
    </row>
    <row r="295" spans="1:12" ht="11.85" customHeight="1" x14ac:dyDescent="0.25">
      <c r="A295" s="264"/>
      <c r="B295" s="198" t="s">
        <v>550</v>
      </c>
      <c r="C295" s="197" t="s">
        <v>99</v>
      </c>
      <c r="D295" s="291">
        <v>1</v>
      </c>
      <c r="E295" s="200">
        <f>I307</f>
        <v>1153.95</v>
      </c>
      <c r="H295" s="247" t="s">
        <v>531</v>
      </c>
      <c r="I295" s="248">
        <v>4961.54</v>
      </c>
    </row>
    <row r="296" spans="1:12" ht="11.85" customHeight="1" x14ac:dyDescent="0.25">
      <c r="A296" s="264"/>
      <c r="B296" s="198" t="s">
        <v>552</v>
      </c>
      <c r="C296" s="197" t="s">
        <v>99</v>
      </c>
      <c r="D296" s="291">
        <v>110</v>
      </c>
      <c r="E296" s="200">
        <f>I308</f>
        <v>109955.39</v>
      </c>
      <c r="H296" s="247" t="s">
        <v>533</v>
      </c>
      <c r="I296" s="248">
        <v>126771.02</v>
      </c>
    </row>
    <row r="297" spans="1:12" ht="11.85" customHeight="1" x14ac:dyDescent="0.25">
      <c r="A297" s="264"/>
      <c r="B297" s="198" t="s">
        <v>554</v>
      </c>
      <c r="C297" s="197" t="s">
        <v>99</v>
      </c>
      <c r="D297" s="197"/>
      <c r="H297" s="247" t="s">
        <v>535</v>
      </c>
      <c r="I297" s="248">
        <v>2166.8000000000002</v>
      </c>
    </row>
    <row r="298" spans="1:12" ht="11.85" customHeight="1" x14ac:dyDescent="0.25">
      <c r="A298" s="264"/>
      <c r="B298" s="198" t="s">
        <v>556</v>
      </c>
      <c r="C298" s="197" t="s">
        <v>99</v>
      </c>
      <c r="D298" s="291">
        <v>24</v>
      </c>
      <c r="E298" s="200">
        <f>I309</f>
        <v>23707.26</v>
      </c>
      <c r="H298" s="247" t="s">
        <v>537</v>
      </c>
      <c r="I298" s="248">
        <v>66560.92</v>
      </c>
    </row>
    <row r="299" spans="1:12" ht="11.85" customHeight="1" x14ac:dyDescent="0.25">
      <c r="A299" s="264"/>
      <c r="B299" s="198" t="s">
        <v>558</v>
      </c>
      <c r="C299" s="197" t="s">
        <v>99</v>
      </c>
      <c r="D299" s="291">
        <v>1</v>
      </c>
      <c r="E299" s="280">
        <f>I310</f>
        <v>672.09</v>
      </c>
      <c r="H299" s="247" t="s">
        <v>539</v>
      </c>
      <c r="I299" s="248">
        <v>8747.59</v>
      </c>
    </row>
    <row r="300" spans="1:12" ht="11.85" customHeight="1" x14ac:dyDescent="0.25">
      <c r="A300" s="264"/>
      <c r="B300" s="198" t="s">
        <v>560</v>
      </c>
      <c r="C300" s="197" t="s">
        <v>99</v>
      </c>
      <c r="D300" s="197"/>
      <c r="H300" s="247" t="s">
        <v>542</v>
      </c>
      <c r="I300" s="248">
        <v>7300.47</v>
      </c>
    </row>
    <row r="301" spans="1:12" ht="11.85" customHeight="1" x14ac:dyDescent="0.25">
      <c r="A301" s="264"/>
      <c r="B301" s="198" t="s">
        <v>562</v>
      </c>
      <c r="C301" s="197" t="s">
        <v>99</v>
      </c>
      <c r="D301" s="291">
        <v>34</v>
      </c>
      <c r="E301" s="200">
        <f>I311</f>
        <v>34267.78</v>
      </c>
      <c r="H301" s="247" t="s">
        <v>544</v>
      </c>
      <c r="I301" s="287">
        <v>58.74</v>
      </c>
    </row>
    <row r="302" spans="1:12" ht="11.85" customHeight="1" x14ac:dyDescent="0.25">
      <c r="A302" s="264"/>
      <c r="B302" s="198" t="s">
        <v>564</v>
      </c>
      <c r="C302" s="197" t="s">
        <v>99</v>
      </c>
      <c r="D302" s="291">
        <v>60</v>
      </c>
      <c r="E302" s="200">
        <f>I312</f>
        <v>60446.28</v>
      </c>
      <c r="H302" s="247" t="s">
        <v>545</v>
      </c>
      <c r="I302" s="248">
        <v>3062.42</v>
      </c>
    </row>
    <row r="303" spans="1:12" ht="11.85" customHeight="1" x14ac:dyDescent="0.25">
      <c r="A303" s="264"/>
      <c r="B303" s="198" t="s">
        <v>566</v>
      </c>
      <c r="C303" s="197" t="s">
        <v>99</v>
      </c>
      <c r="D303" s="292">
        <v>17</v>
      </c>
      <c r="G303" t="s">
        <v>699</v>
      </c>
      <c r="H303" s="247" t="s">
        <v>547</v>
      </c>
      <c r="I303" s="248">
        <v>1734.56</v>
      </c>
    </row>
    <row r="304" spans="1:12" ht="11.85" customHeight="1" x14ac:dyDescent="0.25">
      <c r="A304" s="264"/>
      <c r="B304" s="198" t="s">
        <v>568</v>
      </c>
      <c r="C304" s="197" t="s">
        <v>99</v>
      </c>
      <c r="D304" s="293">
        <v>-49</v>
      </c>
      <c r="G304" s="294">
        <v>2663.77</v>
      </c>
      <c r="H304" s="247" t="s">
        <v>549</v>
      </c>
      <c r="I304" s="287">
        <v>175.75</v>
      </c>
    </row>
    <row r="305" spans="1:9" ht="11.85" customHeight="1" x14ac:dyDescent="0.25">
      <c r="A305" s="264" t="s">
        <v>90</v>
      </c>
      <c r="B305" s="198" t="s">
        <v>36</v>
      </c>
      <c r="C305" s="265" t="s">
        <v>99</v>
      </c>
      <c r="D305" s="276">
        <v>866</v>
      </c>
      <c r="E305" s="200">
        <f>I313</f>
        <v>865745.34</v>
      </c>
      <c r="G305" s="294">
        <v>-51878.02</v>
      </c>
      <c r="H305" s="247" t="s">
        <v>551</v>
      </c>
      <c r="I305" s="248">
        <v>8030.4</v>
      </c>
    </row>
    <row r="306" spans="1:9" ht="11.85" customHeight="1" x14ac:dyDescent="0.25">
      <c r="A306" s="264" t="s">
        <v>91</v>
      </c>
      <c r="B306" s="198" t="s">
        <v>123</v>
      </c>
      <c r="C306" s="265" t="s">
        <v>99</v>
      </c>
      <c r="D306" s="276">
        <v>428</v>
      </c>
      <c r="G306" s="200">
        <f>SUM(G304:G305)</f>
        <v>-49214.25</v>
      </c>
      <c r="H306" s="247" t="s">
        <v>553</v>
      </c>
      <c r="I306" s="248">
        <v>167643.03</v>
      </c>
    </row>
    <row r="307" spans="1:9" ht="11.85" customHeight="1" x14ac:dyDescent="0.25">
      <c r="A307" s="264"/>
      <c r="B307" s="211" t="s">
        <v>360</v>
      </c>
      <c r="C307" s="197"/>
      <c r="D307" s="197"/>
      <c r="H307" s="231" t="s">
        <v>555</v>
      </c>
      <c r="I307" s="232">
        <v>1153.95</v>
      </c>
    </row>
    <row r="308" spans="1:9" ht="11.85" customHeight="1" x14ac:dyDescent="0.25">
      <c r="A308" s="264"/>
      <c r="B308" s="198" t="s">
        <v>574</v>
      </c>
      <c r="C308" s="197" t="s">
        <v>99</v>
      </c>
      <c r="D308" s="214">
        <v>63</v>
      </c>
      <c r="H308" s="231" t="s">
        <v>557</v>
      </c>
      <c r="I308" s="232">
        <v>109955.39</v>
      </c>
    </row>
    <row r="309" spans="1:9" ht="11.85" customHeight="1" x14ac:dyDescent="0.25">
      <c r="A309" s="264"/>
      <c r="B309" s="198" t="s">
        <v>576</v>
      </c>
      <c r="C309" s="197" t="s">
        <v>99</v>
      </c>
      <c r="D309" s="214">
        <v>365</v>
      </c>
      <c r="H309" s="231" t="s">
        <v>559</v>
      </c>
      <c r="I309" s="295">
        <v>23707.26</v>
      </c>
    </row>
    <row r="310" spans="1:9" ht="11.85" customHeight="1" x14ac:dyDescent="0.25">
      <c r="A310" s="263" t="s">
        <v>215</v>
      </c>
      <c r="B310" s="189" t="s">
        <v>416</v>
      </c>
      <c r="C310" s="188" t="s">
        <v>99</v>
      </c>
      <c r="D310" s="262">
        <v>180668</v>
      </c>
      <c r="E310" s="191">
        <f>G1191</f>
        <v>180668</v>
      </c>
      <c r="H310" s="231" t="s">
        <v>561</v>
      </c>
      <c r="I310" s="282">
        <v>672.09</v>
      </c>
    </row>
    <row r="311" spans="1:9" ht="11.85" customHeight="1" x14ac:dyDescent="0.25">
      <c r="A311" s="264" t="s">
        <v>152</v>
      </c>
      <c r="B311" s="198" t="s">
        <v>134</v>
      </c>
      <c r="C311" s="197" t="s">
        <v>99</v>
      </c>
      <c r="D311" s="276">
        <v>31</v>
      </c>
      <c r="H311" s="231" t="s">
        <v>563</v>
      </c>
      <c r="I311" s="295">
        <v>34267.78</v>
      </c>
    </row>
    <row r="312" spans="1:9" ht="11.85" customHeight="1" x14ac:dyDescent="0.25">
      <c r="A312" s="264" t="s">
        <v>153</v>
      </c>
      <c r="B312" s="189" t="s">
        <v>141</v>
      </c>
      <c r="C312" s="188" t="s">
        <v>99</v>
      </c>
      <c r="D312" s="268">
        <v>3</v>
      </c>
      <c r="H312" s="231" t="s">
        <v>565</v>
      </c>
      <c r="I312" s="232">
        <v>60446.28</v>
      </c>
    </row>
    <row r="313" spans="1:9" ht="11.85" customHeight="1" x14ac:dyDescent="0.25">
      <c r="A313" s="264"/>
      <c r="B313" s="211" t="s">
        <v>360</v>
      </c>
      <c r="C313" s="197"/>
      <c r="D313" s="197"/>
      <c r="H313" s="231" t="s">
        <v>567</v>
      </c>
      <c r="I313" s="232">
        <v>865745.34</v>
      </c>
    </row>
    <row r="314" spans="1:9" ht="11.85" customHeight="1" x14ac:dyDescent="0.25">
      <c r="A314" s="264"/>
      <c r="B314" s="198" t="s">
        <v>488</v>
      </c>
      <c r="C314" s="197" t="s">
        <v>99</v>
      </c>
      <c r="D314" s="214">
        <v>2</v>
      </c>
      <c r="H314" s="237" t="s">
        <v>569</v>
      </c>
      <c r="I314" s="238">
        <v>428050.6</v>
      </c>
    </row>
    <row r="315" spans="1:9" ht="11.85" customHeight="1" x14ac:dyDescent="0.25">
      <c r="A315" s="264"/>
      <c r="B315" s="198" t="s">
        <v>490</v>
      </c>
      <c r="C315" s="197" t="s">
        <v>99</v>
      </c>
      <c r="D315" s="214">
        <v>1</v>
      </c>
      <c r="H315" s="239" t="s">
        <v>442</v>
      </c>
      <c r="I315" s="240"/>
    </row>
    <row r="316" spans="1:9" ht="11.85" customHeight="1" x14ac:dyDescent="0.25">
      <c r="A316" s="264"/>
      <c r="B316" s="198" t="s">
        <v>491</v>
      </c>
      <c r="C316" s="197" t="s">
        <v>99</v>
      </c>
      <c r="D316" s="197"/>
      <c r="H316" s="231" t="s">
        <v>572</v>
      </c>
      <c r="I316" s="232">
        <v>63410.28</v>
      </c>
    </row>
    <row r="317" spans="1:9" ht="11.85" customHeight="1" x14ac:dyDescent="0.25">
      <c r="A317" s="263" t="s">
        <v>154</v>
      </c>
      <c r="B317" s="189" t="s">
        <v>117</v>
      </c>
      <c r="C317" s="188" t="s">
        <v>99</v>
      </c>
      <c r="D317" s="262">
        <v>180634</v>
      </c>
      <c r="H317" s="231" t="s">
        <v>573</v>
      </c>
      <c r="I317" s="232">
        <v>364640.32</v>
      </c>
    </row>
    <row r="318" spans="1:9" ht="11.85" customHeight="1" thickBot="1" x14ac:dyDescent="0.3">
      <c r="A318" s="264" t="s">
        <v>700</v>
      </c>
      <c r="B318" s="198" t="s">
        <v>137</v>
      </c>
      <c r="C318" s="197" t="s">
        <v>99</v>
      </c>
      <c r="D318" s="267"/>
      <c r="H318" s="251" t="s">
        <v>575</v>
      </c>
      <c r="I318" s="252">
        <v>57734031.630000003</v>
      </c>
    </row>
    <row r="319" spans="1:9" ht="11.85" customHeight="1" x14ac:dyDescent="0.25">
      <c r="A319" s="264" t="s">
        <v>701</v>
      </c>
      <c r="B319" s="198" t="s">
        <v>25</v>
      </c>
      <c r="C319" s="197" t="s">
        <v>99</v>
      </c>
      <c r="D319" s="267"/>
    </row>
    <row r="320" spans="1:9" ht="11.85" customHeight="1" x14ac:dyDescent="0.25">
      <c r="A320" s="264" t="s">
        <v>702</v>
      </c>
      <c r="B320" s="198" t="s">
        <v>582</v>
      </c>
      <c r="C320" s="197" t="s">
        <v>99</v>
      </c>
      <c r="D320" s="267"/>
    </row>
    <row r="321" spans="1:4" ht="22.35" customHeight="1" x14ac:dyDescent="0.25">
      <c r="A321" s="264" t="s">
        <v>703</v>
      </c>
      <c r="B321" s="198" t="s">
        <v>584</v>
      </c>
      <c r="C321" s="197" t="s">
        <v>99</v>
      </c>
      <c r="D321" s="267"/>
    </row>
    <row r="322" spans="1:4" ht="11.85" customHeight="1" x14ac:dyDescent="0.25">
      <c r="A322" s="264" t="s">
        <v>704</v>
      </c>
      <c r="B322" s="198" t="s">
        <v>138</v>
      </c>
      <c r="C322" s="197" t="s">
        <v>99</v>
      </c>
      <c r="D322" s="267"/>
    </row>
    <row r="323" spans="1:4" ht="11.85" customHeight="1" x14ac:dyDescent="0.25">
      <c r="A323" s="264" t="s">
        <v>705</v>
      </c>
      <c r="B323" s="189" t="s">
        <v>587</v>
      </c>
      <c r="C323" s="188" t="s">
        <v>99</v>
      </c>
      <c r="D323" s="262">
        <v>180634</v>
      </c>
    </row>
    <row r="324" spans="1:4" ht="11.85" customHeight="1" x14ac:dyDescent="0.25">
      <c r="A324" s="264" t="s">
        <v>706</v>
      </c>
      <c r="B324" s="189" t="s">
        <v>589</v>
      </c>
      <c r="C324" s="188" t="s">
        <v>99</v>
      </c>
      <c r="D324" s="186"/>
    </row>
    <row r="325" spans="1:4" ht="11.85" customHeight="1" x14ac:dyDescent="0.25">
      <c r="A325" s="264"/>
      <c r="B325" s="211" t="s">
        <v>360</v>
      </c>
      <c r="C325" s="197"/>
      <c r="D325" s="197"/>
    </row>
    <row r="326" spans="1:4" ht="11.85" customHeight="1" x14ac:dyDescent="0.25">
      <c r="A326" s="264"/>
      <c r="B326" s="198" t="s">
        <v>506</v>
      </c>
      <c r="C326" s="197" t="s">
        <v>99</v>
      </c>
      <c r="D326" s="197"/>
    </row>
    <row r="327" spans="1:4" ht="11.85" customHeight="1" x14ac:dyDescent="0.25">
      <c r="A327" s="264"/>
      <c r="B327" s="198" t="s">
        <v>507</v>
      </c>
      <c r="C327" s="197" t="s">
        <v>99</v>
      </c>
      <c r="D327" s="197"/>
    </row>
    <row r="328" spans="1:4" ht="11.85" customHeight="1" x14ac:dyDescent="0.25">
      <c r="A328" s="264"/>
      <c r="B328" s="198" t="s">
        <v>509</v>
      </c>
      <c r="C328" s="197" t="s">
        <v>99</v>
      </c>
      <c r="D328" s="197"/>
    </row>
    <row r="329" spans="1:4" ht="11.85" customHeight="1" x14ac:dyDescent="0.25">
      <c r="A329" s="264"/>
      <c r="B329" s="198" t="s">
        <v>511</v>
      </c>
      <c r="C329" s="197" t="s">
        <v>99</v>
      </c>
      <c r="D329" s="197"/>
    </row>
    <row r="330" spans="1:4" ht="11.85" customHeight="1" x14ac:dyDescent="0.25">
      <c r="A330" s="264"/>
      <c r="B330" s="198" t="s">
        <v>512</v>
      </c>
      <c r="C330" s="197" t="s">
        <v>99</v>
      </c>
      <c r="D330" s="197"/>
    </row>
    <row r="331" spans="1:4" ht="11.85" customHeight="1" x14ac:dyDescent="0.25">
      <c r="A331" s="264" t="s">
        <v>707</v>
      </c>
      <c r="B331" s="189" t="s">
        <v>591</v>
      </c>
      <c r="C331" s="188" t="s">
        <v>99</v>
      </c>
      <c r="D331" s="186"/>
    </row>
    <row r="332" spans="1:4" ht="11.85" customHeight="1" x14ac:dyDescent="0.25">
      <c r="A332" s="264"/>
      <c r="B332" s="211" t="s">
        <v>360</v>
      </c>
      <c r="C332" s="197"/>
      <c r="D332" s="197"/>
    </row>
    <row r="333" spans="1:4" ht="11.85" customHeight="1" x14ac:dyDescent="0.25">
      <c r="A333" s="264"/>
      <c r="B333" s="198" t="s">
        <v>528</v>
      </c>
      <c r="C333" s="197" t="s">
        <v>99</v>
      </c>
      <c r="D333" s="197"/>
    </row>
    <row r="334" spans="1:4" ht="11.85" customHeight="1" x14ac:dyDescent="0.25">
      <c r="A334" s="264"/>
      <c r="B334" s="198" t="s">
        <v>530</v>
      </c>
      <c r="C334" s="197" t="s">
        <v>99</v>
      </c>
      <c r="D334" s="197"/>
    </row>
    <row r="335" spans="1:4" ht="11.85" customHeight="1" x14ac:dyDescent="0.25">
      <c r="A335" s="264"/>
      <c r="B335" s="198" t="s">
        <v>532</v>
      </c>
      <c r="C335" s="197" t="s">
        <v>99</v>
      </c>
      <c r="D335" s="197"/>
    </row>
    <row r="336" spans="1:4" ht="11.85" customHeight="1" x14ac:dyDescent="0.25">
      <c r="A336" s="264"/>
      <c r="B336" s="198" t="s">
        <v>592</v>
      </c>
      <c r="C336" s="197" t="s">
        <v>99</v>
      </c>
      <c r="D336" s="197"/>
    </row>
    <row r="337" spans="1:10" ht="11.85" customHeight="1" x14ac:dyDescent="0.25">
      <c r="A337" s="264" t="s">
        <v>708</v>
      </c>
      <c r="B337" s="198" t="s">
        <v>594</v>
      </c>
      <c r="C337" s="197" t="s">
        <v>99</v>
      </c>
      <c r="D337" s="267"/>
    </row>
    <row r="338" spans="1:10" ht="11.85" customHeight="1" x14ac:dyDescent="0.25">
      <c r="A338" s="264" t="s">
        <v>709</v>
      </c>
      <c r="B338" s="198" t="s">
        <v>596</v>
      </c>
      <c r="C338" s="197" t="s">
        <v>99</v>
      </c>
      <c r="D338" s="267"/>
    </row>
    <row r="339" spans="1:10" ht="11.85" customHeight="1" x14ac:dyDescent="0.25">
      <c r="A339" s="264" t="s">
        <v>710</v>
      </c>
      <c r="B339" s="198" t="s">
        <v>598</v>
      </c>
      <c r="C339" s="197" t="s">
        <v>99</v>
      </c>
      <c r="D339" s="266">
        <v>172484</v>
      </c>
    </row>
    <row r="340" spans="1:10" ht="11.85" customHeight="1" x14ac:dyDescent="0.25">
      <c r="A340" s="264" t="s">
        <v>711</v>
      </c>
      <c r="B340" s="198" t="s">
        <v>600</v>
      </c>
      <c r="C340" s="197" t="s">
        <v>99</v>
      </c>
      <c r="D340" s="267"/>
    </row>
    <row r="341" spans="1:10" ht="11.85" customHeight="1" x14ac:dyDescent="0.25">
      <c r="A341" s="264" t="s">
        <v>712</v>
      </c>
      <c r="B341" s="198" t="s">
        <v>688</v>
      </c>
      <c r="C341" s="197" t="s">
        <v>99</v>
      </c>
      <c r="D341" s="266">
        <v>8150</v>
      </c>
    </row>
    <row r="342" spans="1:10" ht="11.85" customHeight="1" x14ac:dyDescent="0.25">
      <c r="A342" s="264" t="s">
        <v>713</v>
      </c>
      <c r="B342" s="198" t="s">
        <v>714</v>
      </c>
      <c r="C342" s="197" t="s">
        <v>99</v>
      </c>
      <c r="D342" s="267"/>
    </row>
    <row r="343" spans="1:10" ht="11.85" customHeight="1" x14ac:dyDescent="0.25">
      <c r="A343" s="264" t="s">
        <v>715</v>
      </c>
      <c r="B343" s="198" t="s">
        <v>716</v>
      </c>
      <c r="C343" s="197" t="s">
        <v>99</v>
      </c>
      <c r="D343" s="266">
        <v>8150</v>
      </c>
    </row>
    <row r="344" spans="1:10" s="244" customFormat="1" ht="11.85" customHeight="1" x14ac:dyDescent="0.2">
      <c r="A344" s="188" t="s">
        <v>39</v>
      </c>
      <c r="B344" s="189" t="s">
        <v>124</v>
      </c>
      <c r="C344" s="188" t="s">
        <v>99</v>
      </c>
      <c r="D344" s="262">
        <v>3662092</v>
      </c>
    </row>
    <row r="346" spans="1:10" x14ac:dyDescent="0.25">
      <c r="A346" s="473" t="s">
        <v>648</v>
      </c>
      <c r="B346" s="473"/>
      <c r="C346" s="473"/>
      <c r="D346" s="473"/>
    </row>
    <row r="347" spans="1:10" x14ac:dyDescent="0.25">
      <c r="A347" s="473" t="s">
        <v>650</v>
      </c>
      <c r="B347" s="473"/>
      <c r="C347" s="473"/>
      <c r="D347" s="473"/>
    </row>
    <row r="348" spans="1:10" x14ac:dyDescent="0.25">
      <c r="A348" s="478" t="s">
        <v>717</v>
      </c>
      <c r="B348" s="478"/>
      <c r="C348" s="478"/>
      <c r="D348" s="478"/>
      <c r="H348" s="296" t="s">
        <v>718</v>
      </c>
    </row>
    <row r="349" spans="1:10" x14ac:dyDescent="0.25">
      <c r="H349" s="297" t="s">
        <v>327</v>
      </c>
    </row>
    <row r="350" spans="1:10" x14ac:dyDescent="0.25">
      <c r="A350" s="197" t="s">
        <v>2</v>
      </c>
      <c r="B350" s="197" t="s">
        <v>653</v>
      </c>
      <c r="C350" s="197" t="s">
        <v>5</v>
      </c>
      <c r="D350" s="197" t="s">
        <v>719</v>
      </c>
    </row>
    <row r="351" spans="1:10" s="244" customFormat="1" ht="22.35" customHeight="1" x14ac:dyDescent="0.25">
      <c r="A351" s="188" t="s">
        <v>6</v>
      </c>
      <c r="B351" s="189" t="s">
        <v>720</v>
      </c>
      <c r="C351" s="188" t="s">
        <v>99</v>
      </c>
      <c r="D351" s="262">
        <v>2564339</v>
      </c>
      <c r="G351"/>
      <c r="H351" s="187" t="s">
        <v>721</v>
      </c>
    </row>
    <row r="352" spans="1:10" s="244" customFormat="1" ht="11.85" customHeight="1" x14ac:dyDescent="0.25">
      <c r="A352" s="263" t="s">
        <v>0</v>
      </c>
      <c r="B352" s="189" t="s">
        <v>55</v>
      </c>
      <c r="C352" s="188" t="s">
        <v>99</v>
      </c>
      <c r="D352" s="262">
        <v>1848291</v>
      </c>
      <c r="G352"/>
      <c r="H352"/>
      <c r="I352" s="298">
        <v>2019</v>
      </c>
      <c r="J352" s="299"/>
    </row>
    <row r="353" spans="1:10" ht="11.85" customHeight="1" x14ac:dyDescent="0.25">
      <c r="A353" s="264" t="s">
        <v>46</v>
      </c>
      <c r="B353" s="198" t="s">
        <v>94</v>
      </c>
      <c r="C353" s="197" t="s">
        <v>99</v>
      </c>
      <c r="D353" s="266">
        <v>181841</v>
      </c>
      <c r="E353" s="200">
        <f>J374+J367</f>
        <v>192386267.75</v>
      </c>
      <c r="F353" s="191">
        <f>D353+D355+D384+D385+D386</f>
        <v>192386</v>
      </c>
      <c r="G353" s="474" t="s">
        <v>2</v>
      </c>
      <c r="H353" s="479" t="s">
        <v>722</v>
      </c>
      <c r="I353" s="195"/>
      <c r="J353" s="196">
        <v>12977877</v>
      </c>
    </row>
    <row r="354" spans="1:10" ht="11.85" customHeight="1" x14ac:dyDescent="0.25">
      <c r="A354" s="264" t="s">
        <v>56</v>
      </c>
      <c r="B354" s="198" t="s">
        <v>57</v>
      </c>
      <c r="C354" s="197" t="s">
        <v>99</v>
      </c>
      <c r="D354" s="267"/>
      <c r="G354" s="474"/>
      <c r="H354" s="480"/>
      <c r="I354" s="300" t="s">
        <v>338</v>
      </c>
      <c r="J354" s="299"/>
    </row>
    <row r="355" spans="1:10" ht="11.85" customHeight="1" x14ac:dyDescent="0.25">
      <c r="A355" s="264" t="s">
        <v>98</v>
      </c>
      <c r="B355" s="189" t="s">
        <v>16</v>
      </c>
      <c r="C355" s="188" t="s">
        <v>99</v>
      </c>
      <c r="D355" s="262">
        <v>4062</v>
      </c>
      <c r="G355" s="474"/>
      <c r="H355" s="479" t="s">
        <v>337</v>
      </c>
      <c r="I355" s="203" t="s">
        <v>341</v>
      </c>
      <c r="J355" s="203" t="s">
        <v>342</v>
      </c>
    </row>
    <row r="356" spans="1:10" ht="11.85" customHeight="1" x14ac:dyDescent="0.25">
      <c r="A356" s="264"/>
      <c r="B356" s="211" t="s">
        <v>360</v>
      </c>
      <c r="C356" s="197"/>
      <c r="D356" s="197"/>
      <c r="G356" s="474"/>
      <c r="H356" s="480"/>
    </row>
    <row r="357" spans="1:10" ht="11.85" customHeight="1" x14ac:dyDescent="0.25">
      <c r="A357" s="264"/>
      <c r="B357" s="198" t="s">
        <v>656</v>
      </c>
      <c r="C357" s="197" t="s">
        <v>99</v>
      </c>
      <c r="D357" s="199">
        <v>2422</v>
      </c>
      <c r="G357" s="204"/>
      <c r="I357" s="210"/>
      <c r="J357" s="210"/>
    </row>
    <row r="358" spans="1:10" ht="11.85" customHeight="1" x14ac:dyDescent="0.25">
      <c r="A358" s="264"/>
      <c r="B358" s="198" t="s">
        <v>657</v>
      </c>
      <c r="C358" s="197" t="s">
        <v>99</v>
      </c>
      <c r="D358" s="214">
        <v>434</v>
      </c>
      <c r="G358" s="205">
        <v>1</v>
      </c>
      <c r="H358" s="206" t="s">
        <v>52</v>
      </c>
      <c r="I358" s="210"/>
      <c r="J358" s="210"/>
    </row>
    <row r="359" spans="1:10" ht="11.85" customHeight="1" x14ac:dyDescent="0.25">
      <c r="A359" s="264"/>
      <c r="B359" s="198" t="s">
        <v>658</v>
      </c>
      <c r="C359" s="197" t="s">
        <v>99</v>
      </c>
      <c r="D359" s="199">
        <v>1207</v>
      </c>
      <c r="G359" s="205">
        <v>2</v>
      </c>
      <c r="H359" s="206" t="s">
        <v>347</v>
      </c>
      <c r="I359" s="210"/>
      <c r="J359" s="210"/>
    </row>
    <row r="360" spans="1:10" ht="11.85" customHeight="1" x14ac:dyDescent="0.25">
      <c r="A360" s="264" t="s">
        <v>58</v>
      </c>
      <c r="B360" s="198" t="s">
        <v>661</v>
      </c>
      <c r="C360" s="197" t="s">
        <v>99</v>
      </c>
      <c r="D360" s="267"/>
      <c r="G360" s="205">
        <v>3</v>
      </c>
      <c r="H360" s="206" t="s">
        <v>349</v>
      </c>
      <c r="I360" s="210"/>
      <c r="J360" s="210"/>
    </row>
    <row r="361" spans="1:10" ht="11.85" customHeight="1" x14ac:dyDescent="0.25">
      <c r="A361" s="264" t="s">
        <v>59</v>
      </c>
      <c r="B361" s="189" t="s">
        <v>60</v>
      </c>
      <c r="C361" s="188" t="s">
        <v>99</v>
      </c>
      <c r="D361" s="262">
        <v>1662387</v>
      </c>
      <c r="G361" s="205">
        <v>4</v>
      </c>
      <c r="H361" s="206" t="s">
        <v>351</v>
      </c>
      <c r="I361" s="209"/>
      <c r="J361" s="207"/>
    </row>
    <row r="362" spans="1:10" ht="11.85" customHeight="1" x14ac:dyDescent="0.25">
      <c r="A362" s="264"/>
      <c r="B362" s="211" t="s">
        <v>360</v>
      </c>
      <c r="C362" s="197"/>
      <c r="D362" s="197"/>
      <c r="G362" s="205">
        <v>5</v>
      </c>
      <c r="H362" s="206" t="s">
        <v>353</v>
      </c>
      <c r="I362" s="209">
        <v>113.7</v>
      </c>
      <c r="J362" s="207">
        <v>1475545529.47</v>
      </c>
    </row>
    <row r="363" spans="1:10" ht="11.85" customHeight="1" x14ac:dyDescent="0.25">
      <c r="A363" s="264"/>
      <c r="B363" s="198" t="s">
        <v>383</v>
      </c>
      <c r="C363" s="197" t="s">
        <v>99</v>
      </c>
      <c r="D363" s="199">
        <v>1475546</v>
      </c>
      <c r="E363" s="200">
        <f>J362</f>
        <v>1475545529.47</v>
      </c>
      <c r="G363" s="205">
        <v>6</v>
      </c>
      <c r="H363" s="206" t="s">
        <v>355</v>
      </c>
      <c r="I363" s="210"/>
      <c r="J363" s="210"/>
    </row>
    <row r="364" spans="1:10" ht="11.85" customHeight="1" x14ac:dyDescent="0.25">
      <c r="A364" s="264"/>
      <c r="B364" s="198" t="s">
        <v>723</v>
      </c>
      <c r="C364" s="197" t="s">
        <v>99</v>
      </c>
      <c r="D364" s="199">
        <v>74348</v>
      </c>
      <c r="E364" s="200">
        <f>J366</f>
        <v>74347844.969999999</v>
      </c>
      <c r="G364" s="205">
        <v>7</v>
      </c>
      <c r="H364" s="206" t="s">
        <v>357</v>
      </c>
      <c r="I364" s="209"/>
      <c r="J364" s="207"/>
    </row>
    <row r="365" spans="1:10" ht="11.85" customHeight="1" x14ac:dyDescent="0.25">
      <c r="A365" s="264"/>
      <c r="B365" s="198" t="s">
        <v>724</v>
      </c>
      <c r="C365" s="197" t="s">
        <v>99</v>
      </c>
      <c r="D365" s="199">
        <v>112494</v>
      </c>
      <c r="E365" s="200">
        <f>J365</f>
        <v>112493948.75</v>
      </c>
      <c r="G365" s="205">
        <v>8</v>
      </c>
      <c r="H365" s="206" t="s">
        <v>359</v>
      </c>
      <c r="I365" s="209">
        <v>8.67</v>
      </c>
      <c r="J365" s="207">
        <v>112493948.75</v>
      </c>
    </row>
    <row r="366" spans="1:10" s="244" customFormat="1" ht="11.85" customHeight="1" x14ac:dyDescent="0.2">
      <c r="A366" s="263" t="s">
        <v>1</v>
      </c>
      <c r="B366" s="189" t="s">
        <v>95</v>
      </c>
      <c r="C366" s="188" t="s">
        <v>99</v>
      </c>
      <c r="D366" s="262">
        <v>462022</v>
      </c>
      <c r="G366" s="205">
        <v>9</v>
      </c>
      <c r="H366" s="206" t="s">
        <v>361</v>
      </c>
      <c r="I366" s="209">
        <v>5.73</v>
      </c>
      <c r="J366" s="207">
        <v>74347844.969999999</v>
      </c>
    </row>
    <row r="367" spans="1:10" ht="11.85" customHeight="1" x14ac:dyDescent="0.25">
      <c r="A367" s="264" t="s">
        <v>106</v>
      </c>
      <c r="B367" s="198" t="s">
        <v>61</v>
      </c>
      <c r="C367" s="197" t="s">
        <v>99</v>
      </c>
      <c r="D367" s="266">
        <v>419036</v>
      </c>
      <c r="E367" s="200">
        <f>J375+J368</f>
        <v>419035558</v>
      </c>
      <c r="G367" s="205">
        <v>10</v>
      </c>
      <c r="H367" s="206" t="s">
        <v>363</v>
      </c>
      <c r="I367" s="209">
        <v>10.34</v>
      </c>
      <c r="J367" s="207">
        <v>134247025.50999999</v>
      </c>
    </row>
    <row r="368" spans="1:10" ht="11.85" customHeight="1" x14ac:dyDescent="0.25">
      <c r="A368" s="264" t="s">
        <v>47</v>
      </c>
      <c r="B368" s="189" t="s">
        <v>141</v>
      </c>
      <c r="C368" s="188" t="s">
        <v>99</v>
      </c>
      <c r="D368" s="262">
        <v>42986</v>
      </c>
      <c r="G368" s="205">
        <v>11</v>
      </c>
      <c r="H368" s="206" t="s">
        <v>366</v>
      </c>
      <c r="I368" s="209">
        <v>12.32</v>
      </c>
      <c r="J368" s="207">
        <v>159852686.69999999</v>
      </c>
    </row>
    <row r="369" spans="1:10" ht="11.85" customHeight="1" x14ac:dyDescent="0.25">
      <c r="A369" s="264"/>
      <c r="B369" s="211" t="s">
        <v>360</v>
      </c>
      <c r="C369" s="197"/>
      <c r="D369" s="197"/>
      <c r="G369" s="205">
        <v>12</v>
      </c>
      <c r="H369" s="206" t="s">
        <v>367</v>
      </c>
      <c r="I369" s="209">
        <v>0.69</v>
      </c>
      <c r="J369" s="207">
        <v>8979457.9100000001</v>
      </c>
    </row>
    <row r="370" spans="1:10" ht="11.85" customHeight="1" x14ac:dyDescent="0.25">
      <c r="A370" s="264"/>
      <c r="B370" s="198" t="s">
        <v>368</v>
      </c>
      <c r="C370" s="197" t="s">
        <v>99</v>
      </c>
      <c r="D370" s="199">
        <v>23822</v>
      </c>
      <c r="E370" s="200">
        <f>J369+J376</f>
        <v>23822215.309999999</v>
      </c>
      <c r="G370" s="205">
        <v>13</v>
      </c>
      <c r="H370" s="206" t="s">
        <v>369</v>
      </c>
      <c r="I370" s="209">
        <v>0.57999999999999996</v>
      </c>
      <c r="J370" s="207">
        <v>7583840.0700000003</v>
      </c>
    </row>
    <row r="371" spans="1:10" ht="11.85" customHeight="1" x14ac:dyDescent="0.25">
      <c r="A371" s="264"/>
      <c r="B371" s="198" t="s">
        <v>370</v>
      </c>
      <c r="C371" s="197" t="s">
        <v>99</v>
      </c>
      <c r="D371" s="199">
        <v>12087</v>
      </c>
      <c r="E371" s="200">
        <f>J370+J377</f>
        <v>19163819.559999999</v>
      </c>
      <c r="F371" s="191">
        <f>D371+D372+D373</f>
        <v>19165</v>
      </c>
      <c r="G371" s="205">
        <v>14</v>
      </c>
      <c r="H371" s="206" t="s">
        <v>18</v>
      </c>
      <c r="I371" s="209">
        <v>2.2799999999999998</v>
      </c>
      <c r="J371" s="207">
        <v>29566292.510000002</v>
      </c>
    </row>
    <row r="372" spans="1:10" ht="22.35" customHeight="1" x14ac:dyDescent="0.25">
      <c r="A372" s="264"/>
      <c r="B372" s="198" t="s">
        <v>371</v>
      </c>
      <c r="C372" s="197" t="s">
        <v>99</v>
      </c>
      <c r="D372" s="199">
        <v>1113</v>
      </c>
      <c r="G372" s="212">
        <v>15</v>
      </c>
      <c r="H372" s="206" t="s">
        <v>372</v>
      </c>
      <c r="I372" s="209">
        <v>33.979999999999997</v>
      </c>
      <c r="J372" s="207">
        <v>441039168.97000003</v>
      </c>
    </row>
    <row r="373" spans="1:10" ht="11.85" customHeight="1" x14ac:dyDescent="0.25">
      <c r="A373" s="264"/>
      <c r="B373" s="198" t="s">
        <v>373</v>
      </c>
      <c r="C373" s="197" t="s">
        <v>99</v>
      </c>
      <c r="D373" s="199">
        <v>5965</v>
      </c>
      <c r="G373" s="213" t="s">
        <v>374</v>
      </c>
      <c r="H373" s="206" t="s">
        <v>111</v>
      </c>
      <c r="I373" s="209">
        <v>0.89</v>
      </c>
      <c r="J373" s="207">
        <v>11499840.85</v>
      </c>
    </row>
    <row r="374" spans="1:10" s="244" customFormat="1" ht="11.85" customHeight="1" x14ac:dyDescent="0.2">
      <c r="A374" s="263" t="s">
        <v>54</v>
      </c>
      <c r="B374" s="189" t="s">
        <v>18</v>
      </c>
      <c r="C374" s="188" t="s">
        <v>99</v>
      </c>
      <c r="D374" s="262">
        <v>46566</v>
      </c>
      <c r="E374" s="243">
        <f>J371+J378</f>
        <v>46565547.030000001</v>
      </c>
      <c r="G374" s="213" t="s">
        <v>375</v>
      </c>
      <c r="H374" s="206" t="s">
        <v>376</v>
      </c>
      <c r="I374" s="209">
        <v>4.4800000000000004</v>
      </c>
      <c r="J374" s="207">
        <v>58139242.240000002</v>
      </c>
    </row>
    <row r="375" spans="1:10" s="244" customFormat="1" ht="11.85" customHeight="1" x14ac:dyDescent="0.2">
      <c r="A375" s="263" t="s">
        <v>53</v>
      </c>
      <c r="B375" s="189" t="s">
        <v>108</v>
      </c>
      <c r="C375" s="188" t="s">
        <v>99</v>
      </c>
      <c r="D375" s="186"/>
      <c r="G375" s="213" t="s">
        <v>378</v>
      </c>
      <c r="H375" s="206" t="s">
        <v>379</v>
      </c>
      <c r="I375" s="209">
        <v>19.97</v>
      </c>
      <c r="J375" s="207">
        <v>259182871.30000001</v>
      </c>
    </row>
    <row r="376" spans="1:10" ht="22.35" customHeight="1" x14ac:dyDescent="0.25">
      <c r="A376" s="264" t="s">
        <v>109</v>
      </c>
      <c r="B376" s="198" t="s">
        <v>725</v>
      </c>
      <c r="C376" s="197" t="s">
        <v>99</v>
      </c>
      <c r="D376" s="267"/>
      <c r="G376" s="213" t="s">
        <v>381</v>
      </c>
      <c r="H376" s="206" t="s">
        <v>367</v>
      </c>
      <c r="I376" s="209">
        <v>1.1399999999999999</v>
      </c>
      <c r="J376" s="207">
        <v>14842757.4</v>
      </c>
    </row>
    <row r="377" spans="1:10" s="244" customFormat="1" ht="11.85" customHeight="1" x14ac:dyDescent="0.2">
      <c r="A377" s="301">
        <v>5</v>
      </c>
      <c r="B377" s="189" t="s">
        <v>97</v>
      </c>
      <c r="C377" s="188" t="s">
        <v>99</v>
      </c>
      <c r="D377" s="262">
        <v>207461</v>
      </c>
      <c r="E377" s="243">
        <f>J379+J386+J373</f>
        <v>200978473.46000001</v>
      </c>
      <c r="F377" s="302">
        <f>D384+D385+D386</f>
        <v>6483</v>
      </c>
      <c r="G377" s="213" t="s">
        <v>382</v>
      </c>
      <c r="H377" s="206" t="s">
        <v>369</v>
      </c>
      <c r="I377" s="209">
        <v>0.89</v>
      </c>
      <c r="J377" s="207">
        <v>11579979.49</v>
      </c>
    </row>
    <row r="378" spans="1:10" ht="11.85" customHeight="1" x14ac:dyDescent="0.25">
      <c r="A378" s="264" t="s">
        <v>64</v>
      </c>
      <c r="B378" s="198" t="s">
        <v>28</v>
      </c>
      <c r="C378" s="197" t="s">
        <v>99</v>
      </c>
      <c r="D378" s="276">
        <v>40</v>
      </c>
      <c r="G378" s="213" t="s">
        <v>384</v>
      </c>
      <c r="H378" s="206" t="s">
        <v>18</v>
      </c>
      <c r="I378" s="209">
        <v>1.31</v>
      </c>
      <c r="J378" s="207">
        <v>16999254.52</v>
      </c>
    </row>
    <row r="379" spans="1:10" ht="11.85" customHeight="1" x14ac:dyDescent="0.25">
      <c r="A379" s="264" t="s">
        <v>65</v>
      </c>
      <c r="B379" s="198" t="s">
        <v>30</v>
      </c>
      <c r="C379" s="197" t="s">
        <v>99</v>
      </c>
      <c r="D379" s="266">
        <v>19773</v>
      </c>
      <c r="F379">
        <f>200978+6483</f>
        <v>207461</v>
      </c>
      <c r="G379" s="213" t="s">
        <v>386</v>
      </c>
      <c r="H379" s="206" t="s">
        <v>387</v>
      </c>
      <c r="I379" s="209">
        <v>5.3</v>
      </c>
      <c r="J379" s="207">
        <v>68795223.170000002</v>
      </c>
    </row>
    <row r="380" spans="1:10" ht="11.85" customHeight="1" x14ac:dyDescent="0.25">
      <c r="A380" s="264" t="s">
        <v>66</v>
      </c>
      <c r="B380" s="198" t="s">
        <v>26</v>
      </c>
      <c r="C380" s="197" t="s">
        <v>99</v>
      </c>
      <c r="D380" s="276">
        <v>270</v>
      </c>
      <c r="G380" s="213" t="s">
        <v>389</v>
      </c>
      <c r="H380" s="206" t="s">
        <v>377</v>
      </c>
      <c r="I380" s="210"/>
      <c r="J380" s="210"/>
    </row>
    <row r="381" spans="1:10" ht="11.85" customHeight="1" x14ac:dyDescent="0.25">
      <c r="A381" s="264" t="s">
        <v>67</v>
      </c>
      <c r="B381" s="198" t="s">
        <v>83</v>
      </c>
      <c r="C381" s="197" t="s">
        <v>99</v>
      </c>
      <c r="D381" s="266">
        <v>1632</v>
      </c>
      <c r="G381" s="213" t="s">
        <v>391</v>
      </c>
      <c r="H381" s="215" t="s">
        <v>392</v>
      </c>
      <c r="I381" s="303">
        <v>188.29</v>
      </c>
      <c r="J381" s="216">
        <v>2443655794.8600001</v>
      </c>
    </row>
    <row r="382" spans="1:10" ht="11.85" customHeight="1" x14ac:dyDescent="0.25">
      <c r="A382" s="264" t="s">
        <v>142</v>
      </c>
      <c r="B382" s="189" t="s">
        <v>31</v>
      </c>
      <c r="C382" s="188" t="s">
        <v>99</v>
      </c>
      <c r="D382" s="262">
        <v>9246</v>
      </c>
      <c r="G382" s="217"/>
      <c r="J382" s="218"/>
    </row>
    <row r="383" spans="1:10" ht="11.85" customHeight="1" x14ac:dyDescent="0.25">
      <c r="A383" s="264"/>
      <c r="B383" s="211" t="s">
        <v>360</v>
      </c>
      <c r="C383" s="197"/>
      <c r="D383" s="197"/>
      <c r="G383" s="205">
        <v>16</v>
      </c>
      <c r="H383" s="206" t="s">
        <v>395</v>
      </c>
      <c r="I383" s="210"/>
      <c r="J383" s="210"/>
    </row>
    <row r="384" spans="1:10" ht="11.85" customHeight="1" x14ac:dyDescent="0.25">
      <c r="A384" s="264"/>
      <c r="B384" s="198" t="s">
        <v>528</v>
      </c>
      <c r="C384" s="197" t="s">
        <v>99</v>
      </c>
      <c r="D384" s="214">
        <v>743</v>
      </c>
      <c r="G384" s="205">
        <v>17</v>
      </c>
      <c r="H384" s="206" t="s">
        <v>397</v>
      </c>
      <c r="I384" s="210"/>
      <c r="J384" s="210"/>
    </row>
    <row r="385" spans="1:10" ht="11.85" customHeight="1" x14ac:dyDescent="0.25">
      <c r="A385" s="264"/>
      <c r="B385" s="198" t="s">
        <v>530</v>
      </c>
      <c r="C385" s="197" t="s">
        <v>99</v>
      </c>
      <c r="D385" s="214">
        <v>202</v>
      </c>
      <c r="G385" s="205">
        <v>18</v>
      </c>
      <c r="H385" s="206" t="s">
        <v>399</v>
      </c>
      <c r="I385" s="210"/>
      <c r="J385" s="210"/>
    </row>
    <row r="386" spans="1:10" ht="11.85" customHeight="1" x14ac:dyDescent="0.25">
      <c r="A386" s="264"/>
      <c r="B386" s="198" t="s">
        <v>532</v>
      </c>
      <c r="C386" s="197" t="s">
        <v>99</v>
      </c>
      <c r="D386" s="199">
        <v>5538</v>
      </c>
      <c r="G386" s="205">
        <v>19</v>
      </c>
      <c r="H386" s="206" t="s">
        <v>400</v>
      </c>
      <c r="I386" s="209">
        <v>9.3000000000000007</v>
      </c>
      <c r="J386" s="207">
        <v>120683409.44</v>
      </c>
    </row>
    <row r="387" spans="1:10" ht="11.85" customHeight="1" x14ac:dyDescent="0.25">
      <c r="A387" s="264"/>
      <c r="B387" s="198" t="s">
        <v>726</v>
      </c>
      <c r="C387" s="197" t="s">
        <v>99</v>
      </c>
      <c r="D387" s="199">
        <v>2763</v>
      </c>
      <c r="G387" s="212">
        <v>20</v>
      </c>
      <c r="H387" s="206" t="s">
        <v>402</v>
      </c>
      <c r="I387" s="210"/>
      <c r="J387" s="210"/>
    </row>
    <row r="388" spans="1:10" ht="22.35" customHeight="1" x14ac:dyDescent="0.25">
      <c r="A388" s="264" t="s">
        <v>143</v>
      </c>
      <c r="B388" s="198" t="s">
        <v>144</v>
      </c>
      <c r="C388" s="197" t="s">
        <v>99</v>
      </c>
      <c r="D388" s="266">
        <v>12886</v>
      </c>
      <c r="G388" s="213" t="s">
        <v>404</v>
      </c>
      <c r="H388" s="215" t="s">
        <v>405</v>
      </c>
      <c r="I388" s="303">
        <v>197.59</v>
      </c>
      <c r="J388" s="216">
        <v>2564339204.3000002</v>
      </c>
    </row>
    <row r="389" spans="1:10" ht="11.85" customHeight="1" x14ac:dyDescent="0.25">
      <c r="A389" s="264" t="s">
        <v>145</v>
      </c>
      <c r="B389" s="198" t="s">
        <v>146</v>
      </c>
      <c r="C389" s="197" t="s">
        <v>99</v>
      </c>
      <c r="D389" s="266">
        <v>5007</v>
      </c>
      <c r="G389" s="217"/>
      <c r="J389" s="220"/>
    </row>
    <row r="390" spans="1:10" ht="11.85" customHeight="1" x14ac:dyDescent="0.25">
      <c r="A390" s="264" t="s">
        <v>147</v>
      </c>
      <c r="B390" s="189" t="s">
        <v>122</v>
      </c>
      <c r="C390" s="188" t="s">
        <v>99</v>
      </c>
      <c r="D390" s="262">
        <v>37924</v>
      </c>
      <c r="G390" s="212">
        <v>21</v>
      </c>
      <c r="H390" s="206" t="s">
        <v>408</v>
      </c>
      <c r="I390" s="209">
        <v>4.37</v>
      </c>
      <c r="J390" s="207">
        <v>56722246.490000002</v>
      </c>
    </row>
    <row r="391" spans="1:10" ht="11.85" customHeight="1" x14ac:dyDescent="0.25">
      <c r="A391" s="264"/>
      <c r="B391" s="211" t="s">
        <v>360</v>
      </c>
      <c r="C391" s="197"/>
      <c r="D391" s="197"/>
      <c r="G391" s="212">
        <v>22</v>
      </c>
      <c r="H391" s="206" t="s">
        <v>410</v>
      </c>
      <c r="I391" s="209">
        <v>0.12</v>
      </c>
      <c r="J391" s="207">
        <v>1510240.49</v>
      </c>
    </row>
    <row r="392" spans="1:10" ht="11.85" customHeight="1" x14ac:dyDescent="0.25">
      <c r="A392" s="264"/>
      <c r="B392" s="198" t="s">
        <v>439</v>
      </c>
      <c r="C392" s="197" t="s">
        <v>99</v>
      </c>
      <c r="D392" s="199">
        <v>21074</v>
      </c>
      <c r="G392" s="212">
        <v>23</v>
      </c>
      <c r="H392" s="206" t="s">
        <v>412</v>
      </c>
      <c r="I392" s="209">
        <v>0.24</v>
      </c>
      <c r="J392" s="207">
        <v>3095107.32</v>
      </c>
    </row>
    <row r="393" spans="1:10" ht="11.85" customHeight="1" x14ac:dyDescent="0.25">
      <c r="A393" s="264"/>
      <c r="B393" s="198" t="s">
        <v>445</v>
      </c>
      <c r="C393" s="197" t="s">
        <v>99</v>
      </c>
      <c r="D393" s="214">
        <v>378</v>
      </c>
      <c r="G393" s="212">
        <v>24</v>
      </c>
      <c r="H393" s="206" t="s">
        <v>414</v>
      </c>
      <c r="I393" s="209">
        <v>0.28999999999999998</v>
      </c>
      <c r="J393" s="207">
        <v>3766693.6</v>
      </c>
    </row>
    <row r="394" spans="1:10" ht="22.35" customHeight="1" x14ac:dyDescent="0.25">
      <c r="A394" s="264"/>
      <c r="B394" s="198" t="s">
        <v>449</v>
      </c>
      <c r="C394" s="197" t="s">
        <v>99</v>
      </c>
      <c r="D394" s="214">
        <v>574</v>
      </c>
      <c r="G394" s="212">
        <v>25</v>
      </c>
      <c r="H394" s="206" t="s">
        <v>416</v>
      </c>
      <c r="I394" s="209">
        <v>12.73</v>
      </c>
      <c r="J394" s="207">
        <v>165150878.13999999</v>
      </c>
    </row>
    <row r="395" spans="1:10" ht="11.85" customHeight="1" x14ac:dyDescent="0.25">
      <c r="A395" s="264"/>
      <c r="B395" s="198" t="s">
        <v>453</v>
      </c>
      <c r="C395" s="197" t="s">
        <v>99</v>
      </c>
      <c r="D395" s="199">
        <v>15898</v>
      </c>
      <c r="G395" s="213" t="s">
        <v>420</v>
      </c>
      <c r="H395" s="215" t="s">
        <v>421</v>
      </c>
      <c r="I395" s="303">
        <v>215.33</v>
      </c>
      <c r="J395" s="216">
        <v>2794584370.3400002</v>
      </c>
    </row>
    <row r="396" spans="1:10" ht="11.85" customHeight="1" x14ac:dyDescent="0.25">
      <c r="A396" s="264" t="s">
        <v>148</v>
      </c>
      <c r="B396" s="189" t="s">
        <v>727</v>
      </c>
      <c r="C396" s="188" t="s">
        <v>99</v>
      </c>
      <c r="D396" s="262">
        <v>120683</v>
      </c>
      <c r="G396" s="213"/>
      <c r="H396" s="221"/>
      <c r="I396" s="210"/>
      <c r="J396" s="210"/>
    </row>
    <row r="397" spans="1:10" ht="11.85" customHeight="1" x14ac:dyDescent="0.25">
      <c r="A397" s="264"/>
      <c r="B397" s="189" t="s">
        <v>728</v>
      </c>
      <c r="C397" s="188" t="s">
        <v>99</v>
      </c>
      <c r="D397" s="262">
        <v>120683</v>
      </c>
      <c r="G397" s="213"/>
      <c r="H397" s="221" t="s">
        <v>424</v>
      </c>
      <c r="I397" s="209">
        <v>33.979999999999997</v>
      </c>
      <c r="J397" s="207">
        <v>441039168.97000003</v>
      </c>
    </row>
    <row r="398" spans="1:10" ht="11.85" customHeight="1" x14ac:dyDescent="0.25">
      <c r="A398" s="264"/>
      <c r="B398" s="211" t="s">
        <v>360</v>
      </c>
      <c r="C398" s="197"/>
      <c r="D398" s="267"/>
    </row>
    <row r="399" spans="1:10" ht="11.85" customHeight="1" x14ac:dyDescent="0.25">
      <c r="A399" s="264"/>
      <c r="B399" s="198" t="s">
        <v>401</v>
      </c>
      <c r="C399" s="197" t="s">
        <v>99</v>
      </c>
      <c r="D399" s="199">
        <v>43422</v>
      </c>
    </row>
    <row r="400" spans="1:10" ht="11.85" customHeight="1" x14ac:dyDescent="0.25">
      <c r="A400" s="264"/>
      <c r="B400" s="198" t="s">
        <v>403</v>
      </c>
      <c r="C400" s="197" t="s">
        <v>99</v>
      </c>
      <c r="D400" s="199">
        <v>10607</v>
      </c>
    </row>
    <row r="401" spans="1:9" ht="11.85" customHeight="1" x14ac:dyDescent="0.25">
      <c r="A401" s="264"/>
      <c r="B401" s="198" t="s">
        <v>406</v>
      </c>
      <c r="C401" s="197" t="s">
        <v>99</v>
      </c>
      <c r="D401" s="199">
        <v>4665</v>
      </c>
    </row>
    <row r="402" spans="1:9" ht="11.85" customHeight="1" x14ac:dyDescent="0.25">
      <c r="A402" s="264"/>
      <c r="B402" s="198" t="s">
        <v>409</v>
      </c>
      <c r="C402" s="197" t="s">
        <v>99</v>
      </c>
      <c r="D402" s="199">
        <v>8216</v>
      </c>
    </row>
    <row r="403" spans="1:9" ht="11.85" customHeight="1" x14ac:dyDescent="0.25">
      <c r="A403" s="264"/>
      <c r="B403" s="198" t="s">
        <v>411</v>
      </c>
      <c r="C403" s="197" t="s">
        <v>99</v>
      </c>
      <c r="D403" s="199">
        <v>3281</v>
      </c>
    </row>
    <row r="404" spans="1:9" ht="11.85" customHeight="1" x14ac:dyDescent="0.25">
      <c r="A404" s="264"/>
      <c r="B404" s="198" t="s">
        <v>413</v>
      </c>
      <c r="C404" s="197" t="s">
        <v>99</v>
      </c>
      <c r="D404" s="199">
        <v>7877</v>
      </c>
    </row>
    <row r="405" spans="1:9" ht="11.85" customHeight="1" x14ac:dyDescent="0.25">
      <c r="A405" s="264"/>
      <c r="B405" s="198" t="s">
        <v>415</v>
      </c>
      <c r="C405" s="197" t="s">
        <v>99</v>
      </c>
      <c r="D405" s="214">
        <v>247</v>
      </c>
    </row>
    <row r="406" spans="1:9" ht="11.85" customHeight="1" x14ac:dyDescent="0.25">
      <c r="A406" s="264"/>
      <c r="B406" s="198" t="s">
        <v>417</v>
      </c>
      <c r="C406" s="197" t="s">
        <v>99</v>
      </c>
      <c r="D406" s="197"/>
    </row>
    <row r="407" spans="1:9" ht="11.85" customHeight="1" x14ac:dyDescent="0.25">
      <c r="A407" s="264"/>
      <c r="B407" s="198" t="s">
        <v>419</v>
      </c>
      <c r="C407" s="197" t="s">
        <v>99</v>
      </c>
      <c r="D407" s="197"/>
    </row>
    <row r="408" spans="1:9" ht="11.85" customHeight="1" x14ac:dyDescent="0.25">
      <c r="A408" s="264"/>
      <c r="B408" s="198" t="s">
        <v>422</v>
      </c>
      <c r="C408" s="197" t="s">
        <v>99</v>
      </c>
      <c r="D408" s="199">
        <v>7346</v>
      </c>
    </row>
    <row r="409" spans="1:9" ht="11.85" customHeight="1" x14ac:dyDescent="0.25">
      <c r="A409" s="264"/>
      <c r="B409" s="198" t="s">
        <v>423</v>
      </c>
      <c r="C409" s="197" t="s">
        <v>99</v>
      </c>
      <c r="D409" s="199">
        <v>16271</v>
      </c>
    </row>
    <row r="410" spans="1:9" ht="22.35" customHeight="1" x14ac:dyDescent="0.25">
      <c r="A410" s="264"/>
      <c r="B410" s="198" t="s">
        <v>425</v>
      </c>
      <c r="C410" s="197" t="s">
        <v>99</v>
      </c>
      <c r="D410" s="199">
        <v>5570</v>
      </c>
    </row>
    <row r="411" spans="1:9" ht="11.85" customHeight="1" x14ac:dyDescent="0.25">
      <c r="A411" s="264"/>
      <c r="B411" s="198" t="s">
        <v>428</v>
      </c>
      <c r="C411" s="197" t="s">
        <v>99</v>
      </c>
      <c r="D411" s="199">
        <v>2174</v>
      </c>
    </row>
    <row r="412" spans="1:9" ht="11.85" customHeight="1" x14ac:dyDescent="0.25">
      <c r="A412" s="264"/>
      <c r="B412" s="198" t="s">
        <v>429</v>
      </c>
      <c r="C412" s="197" t="s">
        <v>99</v>
      </c>
      <c r="D412" s="199">
        <v>9129</v>
      </c>
    </row>
    <row r="413" spans="1:9" ht="11.85" customHeight="1" x14ac:dyDescent="0.25">
      <c r="A413" s="264"/>
      <c r="B413" s="198" t="s">
        <v>431</v>
      </c>
      <c r="C413" s="197" t="s">
        <v>99</v>
      </c>
      <c r="D413" s="214">
        <v>560</v>
      </c>
    </row>
    <row r="414" spans="1:9" ht="11.85" customHeight="1" x14ac:dyDescent="0.25">
      <c r="A414" s="264"/>
      <c r="B414" s="198" t="s">
        <v>432</v>
      </c>
      <c r="C414" s="197" t="s">
        <v>99</v>
      </c>
      <c r="D414" s="199">
        <v>1320</v>
      </c>
      <c r="H414" s="222" t="s">
        <v>427</v>
      </c>
    </row>
    <row r="415" spans="1:9" s="244" customFormat="1" ht="11.85" customHeight="1" thickBot="1" x14ac:dyDescent="0.3">
      <c r="A415" s="263" t="s">
        <v>23</v>
      </c>
      <c r="B415" s="189" t="s">
        <v>114</v>
      </c>
      <c r="C415" s="188" t="s">
        <v>99</v>
      </c>
      <c r="D415" s="262">
        <v>230245</v>
      </c>
      <c r="H415"/>
      <c r="I415"/>
    </row>
    <row r="416" spans="1:9" s="244" customFormat="1" ht="11.85" customHeight="1" x14ac:dyDescent="0.2">
      <c r="A416" s="263" t="s">
        <v>68</v>
      </c>
      <c r="B416" s="189" t="s">
        <v>115</v>
      </c>
      <c r="C416" s="188" t="s">
        <v>99</v>
      </c>
      <c r="D416" s="262">
        <v>65094</v>
      </c>
      <c r="E416" s="243">
        <f>I492</f>
        <v>65094287.780000001</v>
      </c>
      <c r="H416" s="226"/>
      <c r="I416" s="304" t="s">
        <v>729</v>
      </c>
    </row>
    <row r="417" spans="1:9" ht="11.85" customHeight="1" x14ac:dyDescent="0.25">
      <c r="A417" s="264" t="s">
        <v>69</v>
      </c>
      <c r="B417" s="198" t="s">
        <v>134</v>
      </c>
      <c r="C417" s="197" t="s">
        <v>99</v>
      </c>
      <c r="D417" s="266">
        <v>40642</v>
      </c>
      <c r="H417" s="229">
        <v>1</v>
      </c>
      <c r="I417" s="305">
        <v>5</v>
      </c>
    </row>
    <row r="418" spans="1:9" ht="11.85" customHeight="1" x14ac:dyDescent="0.25">
      <c r="A418" s="264" t="s">
        <v>71</v>
      </c>
      <c r="B418" s="189" t="s">
        <v>62</v>
      </c>
      <c r="C418" s="265" t="s">
        <v>99</v>
      </c>
      <c r="D418" s="262">
        <v>3909</v>
      </c>
      <c r="H418" s="231" t="s">
        <v>433</v>
      </c>
      <c r="I418" s="306">
        <v>40642109.950000003</v>
      </c>
    </row>
    <row r="419" spans="1:9" ht="11.85" customHeight="1" x14ac:dyDescent="0.25">
      <c r="A419" s="264"/>
      <c r="B419" s="211" t="s">
        <v>360</v>
      </c>
      <c r="C419" s="197"/>
      <c r="D419" s="197"/>
      <c r="H419" s="231" t="s">
        <v>434</v>
      </c>
      <c r="I419" s="306">
        <v>2738469.99</v>
      </c>
    </row>
    <row r="420" spans="1:9" ht="11.85" customHeight="1" x14ac:dyDescent="0.25">
      <c r="A420" s="264"/>
      <c r="B420" s="198" t="s">
        <v>488</v>
      </c>
      <c r="C420" s="197" t="s">
        <v>99</v>
      </c>
      <c r="D420" s="199">
        <v>2738</v>
      </c>
      <c r="H420" s="231" t="s">
        <v>435</v>
      </c>
      <c r="I420" s="306">
        <v>770822.92</v>
      </c>
    </row>
    <row r="421" spans="1:9" ht="11.85" customHeight="1" x14ac:dyDescent="0.25">
      <c r="A421" s="264"/>
      <c r="B421" s="198" t="s">
        <v>490</v>
      </c>
      <c r="C421" s="197" t="s">
        <v>99</v>
      </c>
      <c r="D421" s="214">
        <v>771</v>
      </c>
      <c r="H421" s="231" t="s">
        <v>436</v>
      </c>
      <c r="I421" s="306">
        <v>399773.65</v>
      </c>
    </row>
    <row r="422" spans="1:9" ht="11.85" customHeight="1" x14ac:dyDescent="0.25">
      <c r="A422" s="264"/>
      <c r="B422" s="198" t="s">
        <v>491</v>
      </c>
      <c r="C422" s="197" t="s">
        <v>99</v>
      </c>
      <c r="D422" s="214">
        <v>400</v>
      </c>
      <c r="H422" s="231" t="s">
        <v>438</v>
      </c>
      <c r="I422" s="306">
        <v>682541.6</v>
      </c>
    </row>
    <row r="423" spans="1:9" ht="11.85" customHeight="1" x14ac:dyDescent="0.25">
      <c r="A423" s="264" t="s">
        <v>72</v>
      </c>
      <c r="B423" s="198" t="s">
        <v>22</v>
      </c>
      <c r="C423" s="265" t="s">
        <v>99</v>
      </c>
      <c r="D423" s="266">
        <v>6940</v>
      </c>
      <c r="H423" s="237" t="s">
        <v>440</v>
      </c>
      <c r="I423" s="307">
        <v>6939877.3399999999</v>
      </c>
    </row>
    <row r="424" spans="1:9" ht="11.85" customHeight="1" x14ac:dyDescent="0.25">
      <c r="A424" s="263" t="s">
        <v>73</v>
      </c>
      <c r="B424" s="189" t="s">
        <v>117</v>
      </c>
      <c r="C424" s="188" t="s">
        <v>99</v>
      </c>
      <c r="D424" s="262">
        <v>13603</v>
      </c>
      <c r="H424" s="239" t="s">
        <v>442</v>
      </c>
      <c r="I424" s="308"/>
    </row>
    <row r="425" spans="1:9" ht="11.85" customHeight="1" x14ac:dyDescent="0.25">
      <c r="A425" s="264" t="s">
        <v>74</v>
      </c>
      <c r="B425" s="198" t="s">
        <v>25</v>
      </c>
      <c r="C425" s="197" t="s">
        <v>99</v>
      </c>
      <c r="D425" s="276">
        <v>683</v>
      </c>
      <c r="H425" s="231" t="s">
        <v>444</v>
      </c>
      <c r="I425" s="306">
        <v>58888.3</v>
      </c>
    </row>
    <row r="426" spans="1:9" ht="11.85" customHeight="1" x14ac:dyDescent="0.25">
      <c r="A426" s="264" t="s">
        <v>75</v>
      </c>
      <c r="B426" s="198" t="s">
        <v>26</v>
      </c>
      <c r="C426" s="197" t="s">
        <v>99</v>
      </c>
      <c r="D426" s="276">
        <v>557</v>
      </c>
      <c r="H426" s="231" t="s">
        <v>446</v>
      </c>
      <c r="I426" s="306">
        <v>3077133.67</v>
      </c>
    </row>
    <row r="427" spans="1:9" ht="11.85" customHeight="1" x14ac:dyDescent="0.25">
      <c r="A427" s="264" t="s">
        <v>76</v>
      </c>
      <c r="B427" s="189" t="s">
        <v>118</v>
      </c>
      <c r="C427" s="188" t="s">
        <v>99</v>
      </c>
      <c r="D427" s="268">
        <v>455</v>
      </c>
      <c r="H427" s="231" t="s">
        <v>448</v>
      </c>
      <c r="I427" s="306">
        <v>278970.28999999998</v>
      </c>
    </row>
    <row r="428" spans="1:9" ht="11.85" customHeight="1" x14ac:dyDescent="0.25">
      <c r="A428" s="264"/>
      <c r="B428" s="211" t="s">
        <v>360</v>
      </c>
      <c r="C428" s="197"/>
      <c r="D428" s="197"/>
      <c r="H428" s="231" t="s">
        <v>450</v>
      </c>
      <c r="I428" s="306">
        <v>1510240.49</v>
      </c>
    </row>
    <row r="429" spans="1:9" ht="11.85" customHeight="1" x14ac:dyDescent="0.25">
      <c r="A429" s="264"/>
      <c r="B429" s="198" t="s">
        <v>506</v>
      </c>
      <c r="C429" s="197" t="s">
        <v>99</v>
      </c>
      <c r="D429" s="214">
        <v>306</v>
      </c>
      <c r="H429" s="231" t="s">
        <v>452</v>
      </c>
      <c r="I429" s="306">
        <v>370006.03</v>
      </c>
    </row>
    <row r="430" spans="1:9" ht="11.85" customHeight="1" x14ac:dyDescent="0.25">
      <c r="A430" s="264"/>
      <c r="B430" s="198" t="s">
        <v>507</v>
      </c>
      <c r="C430" s="197" t="s">
        <v>99</v>
      </c>
      <c r="D430" s="214">
        <v>2</v>
      </c>
      <c r="H430" s="231" t="s">
        <v>454</v>
      </c>
      <c r="I430" s="306">
        <v>1626502.85</v>
      </c>
    </row>
    <row r="431" spans="1:9" ht="11.85" customHeight="1" x14ac:dyDescent="0.25">
      <c r="A431" s="264"/>
      <c r="B431" s="198" t="s">
        <v>509</v>
      </c>
      <c r="C431" s="197" t="s">
        <v>99</v>
      </c>
      <c r="D431" s="214">
        <v>72</v>
      </c>
      <c r="H431" s="231" t="s">
        <v>456</v>
      </c>
      <c r="I431" s="306">
        <v>5358.75</v>
      </c>
    </row>
    <row r="432" spans="1:9" ht="11.85" customHeight="1" x14ac:dyDescent="0.25">
      <c r="A432" s="264"/>
      <c r="B432" s="198" t="s">
        <v>511</v>
      </c>
      <c r="C432" s="197" t="s">
        <v>99</v>
      </c>
      <c r="D432" s="214">
        <v>12</v>
      </c>
      <c r="H432" s="231" t="s">
        <v>458</v>
      </c>
      <c r="I432" s="306">
        <v>13666</v>
      </c>
    </row>
    <row r="433" spans="1:9" ht="11.85" customHeight="1" x14ac:dyDescent="0.25">
      <c r="A433" s="264"/>
      <c r="B433" s="198" t="s">
        <v>512</v>
      </c>
      <c r="C433" s="197" t="s">
        <v>99</v>
      </c>
      <c r="D433" s="214">
        <v>64</v>
      </c>
      <c r="H433" s="231" t="s">
        <v>460</v>
      </c>
      <c r="I433" s="309">
        <v>-889</v>
      </c>
    </row>
    <row r="434" spans="1:9" ht="11.85" customHeight="1" x14ac:dyDescent="0.25">
      <c r="A434" s="264" t="s">
        <v>77</v>
      </c>
      <c r="B434" s="198" t="s">
        <v>48</v>
      </c>
      <c r="C434" s="197" t="s">
        <v>99</v>
      </c>
      <c r="D434" s="276">
        <v>48</v>
      </c>
      <c r="H434" s="231" t="s">
        <v>462</v>
      </c>
      <c r="I434" s="306">
        <v>557078.97</v>
      </c>
    </row>
    <row r="435" spans="1:9" ht="11.85" customHeight="1" x14ac:dyDescent="0.25">
      <c r="A435" s="264" t="s">
        <v>78</v>
      </c>
      <c r="B435" s="198" t="s">
        <v>28</v>
      </c>
      <c r="C435" s="197" t="s">
        <v>99</v>
      </c>
      <c r="D435" s="276">
        <v>537</v>
      </c>
      <c r="H435" s="231" t="s">
        <v>464</v>
      </c>
      <c r="I435" s="306">
        <v>47691.27</v>
      </c>
    </row>
    <row r="436" spans="1:9" ht="11.85" customHeight="1" x14ac:dyDescent="0.25">
      <c r="A436" s="264" t="s">
        <v>79</v>
      </c>
      <c r="B436" s="198" t="s">
        <v>149</v>
      </c>
      <c r="C436" s="197" t="s">
        <v>99</v>
      </c>
      <c r="D436" s="276">
        <v>304</v>
      </c>
      <c r="H436" s="237" t="s">
        <v>466</v>
      </c>
      <c r="I436" s="307">
        <v>455050.34</v>
      </c>
    </row>
    <row r="437" spans="1:9" ht="11.85" customHeight="1" x14ac:dyDescent="0.25">
      <c r="A437" s="264" t="s">
        <v>80</v>
      </c>
      <c r="B437" s="198" t="s">
        <v>150</v>
      </c>
      <c r="C437" s="197" t="s">
        <v>99</v>
      </c>
      <c r="D437" s="276">
        <v>36</v>
      </c>
      <c r="H437" s="239" t="s">
        <v>442</v>
      </c>
      <c r="I437" s="308"/>
    </row>
    <row r="438" spans="1:9" ht="11.85" customHeight="1" x14ac:dyDescent="0.25">
      <c r="A438" s="264" t="s">
        <v>81</v>
      </c>
      <c r="B438" s="198" t="s">
        <v>30</v>
      </c>
      <c r="C438" s="197" t="s">
        <v>99</v>
      </c>
      <c r="D438" s="267"/>
      <c r="H438" s="231" t="s">
        <v>470</v>
      </c>
      <c r="I438" s="306">
        <v>306080.95</v>
      </c>
    </row>
    <row r="439" spans="1:9" ht="11.85" customHeight="1" x14ac:dyDescent="0.25">
      <c r="A439" s="264" t="s">
        <v>82</v>
      </c>
      <c r="B439" s="198" t="s">
        <v>83</v>
      </c>
      <c r="C439" s="197" t="s">
        <v>99</v>
      </c>
      <c r="D439" s="276">
        <v>717</v>
      </c>
      <c r="H439" s="231" t="s">
        <v>473</v>
      </c>
      <c r="I439" s="306">
        <v>1505.98</v>
      </c>
    </row>
    <row r="440" spans="1:9" ht="11.85" customHeight="1" x14ac:dyDescent="0.25">
      <c r="A440" s="264" t="s">
        <v>84</v>
      </c>
      <c r="B440" s="189" t="s">
        <v>31</v>
      </c>
      <c r="C440" s="188" t="s">
        <v>99</v>
      </c>
      <c r="D440" s="268">
        <v>38</v>
      </c>
      <c r="H440" s="231" t="s">
        <v>476</v>
      </c>
      <c r="I440" s="306">
        <v>71696.86</v>
      </c>
    </row>
    <row r="441" spans="1:9" ht="11.85" customHeight="1" x14ac:dyDescent="0.25">
      <c r="A441" s="264"/>
      <c r="B441" s="211" t="s">
        <v>360</v>
      </c>
      <c r="C441" s="197"/>
      <c r="D441" s="197"/>
      <c r="H441" s="231" t="s">
        <v>479</v>
      </c>
      <c r="I441" s="306">
        <v>11681.38</v>
      </c>
    </row>
    <row r="442" spans="1:9" ht="11.85" customHeight="1" x14ac:dyDescent="0.25">
      <c r="A442" s="264"/>
      <c r="B442" s="198" t="s">
        <v>528</v>
      </c>
      <c r="C442" s="197" t="s">
        <v>99</v>
      </c>
      <c r="D442" s="214">
        <v>1</v>
      </c>
      <c r="H442" s="231" t="s">
        <v>480</v>
      </c>
      <c r="I442" s="306">
        <v>64085.15</v>
      </c>
    </row>
    <row r="443" spans="1:9" ht="11.85" customHeight="1" x14ac:dyDescent="0.25">
      <c r="A443" s="264"/>
      <c r="B443" s="198" t="s">
        <v>530</v>
      </c>
      <c r="C443" s="197" t="s">
        <v>99</v>
      </c>
      <c r="D443" s="214">
        <v>12</v>
      </c>
      <c r="H443" s="231" t="s">
        <v>482</v>
      </c>
      <c r="I443" s="306">
        <v>536565.81000000006</v>
      </c>
    </row>
    <row r="444" spans="1:9" ht="11.85" customHeight="1" x14ac:dyDescent="0.25">
      <c r="A444" s="264"/>
      <c r="B444" s="198" t="s">
        <v>532</v>
      </c>
      <c r="C444" s="197" t="s">
        <v>99</v>
      </c>
      <c r="D444" s="214">
        <v>25</v>
      </c>
      <c r="H444" s="231" t="s">
        <v>484</v>
      </c>
      <c r="I444" s="306">
        <v>304468.14</v>
      </c>
    </row>
    <row r="445" spans="1:9" ht="11.85" customHeight="1" x14ac:dyDescent="0.25">
      <c r="A445" s="264" t="s">
        <v>85</v>
      </c>
      <c r="B445" s="198" t="s">
        <v>120</v>
      </c>
      <c r="C445" s="197" t="s">
        <v>99</v>
      </c>
      <c r="D445" s="266">
        <v>3767</v>
      </c>
      <c r="H445" s="231" t="s">
        <v>486</v>
      </c>
      <c r="I445" s="306">
        <v>36364.230000000003</v>
      </c>
    </row>
    <row r="446" spans="1:9" ht="11.85" customHeight="1" x14ac:dyDescent="0.25">
      <c r="A446" s="264" t="s">
        <v>86</v>
      </c>
      <c r="B446" s="198" t="s">
        <v>151</v>
      </c>
      <c r="C446" s="197" t="s">
        <v>99</v>
      </c>
      <c r="D446" s="276">
        <v>257</v>
      </c>
      <c r="H446" s="231" t="s">
        <v>487</v>
      </c>
      <c r="I446" s="306">
        <v>717019.35</v>
      </c>
    </row>
    <row r="447" spans="1:9" ht="11.85" customHeight="1" x14ac:dyDescent="0.25">
      <c r="A447" s="264" t="s">
        <v>87</v>
      </c>
      <c r="B447" s="198" t="s">
        <v>34</v>
      </c>
      <c r="C447" s="197" t="s">
        <v>99</v>
      </c>
      <c r="D447" s="267"/>
      <c r="H447" s="237" t="s">
        <v>489</v>
      </c>
      <c r="I447" s="307">
        <v>38081.279999999999</v>
      </c>
    </row>
    <row r="448" spans="1:9" ht="11.85" customHeight="1" x14ac:dyDescent="0.25">
      <c r="A448" s="264" t="s">
        <v>88</v>
      </c>
      <c r="B448" s="198" t="s">
        <v>121</v>
      </c>
      <c r="C448" s="197" t="s">
        <v>99</v>
      </c>
      <c r="D448" s="266">
        <v>3095</v>
      </c>
      <c r="H448" s="239" t="s">
        <v>442</v>
      </c>
      <c r="I448" s="308"/>
    </row>
    <row r="449" spans="1:9" ht="11.85" customHeight="1" x14ac:dyDescent="0.25">
      <c r="A449" s="264" t="s">
        <v>89</v>
      </c>
      <c r="B449" s="189" t="s">
        <v>122</v>
      </c>
      <c r="C449" s="188" t="s">
        <v>99</v>
      </c>
      <c r="D449" s="262">
        <v>1394</v>
      </c>
      <c r="H449" s="231" t="s">
        <v>492</v>
      </c>
      <c r="I449" s="306">
        <v>1377.31</v>
      </c>
    </row>
    <row r="450" spans="1:9" ht="11.85" customHeight="1" x14ac:dyDescent="0.25">
      <c r="A450" s="264"/>
      <c r="B450" s="211" t="s">
        <v>360</v>
      </c>
      <c r="C450" s="197"/>
      <c r="D450" s="197"/>
      <c r="H450" s="231" t="s">
        <v>494</v>
      </c>
      <c r="I450" s="306">
        <v>11975.46</v>
      </c>
    </row>
    <row r="451" spans="1:9" ht="11.85" customHeight="1" x14ac:dyDescent="0.25">
      <c r="A451" s="264"/>
      <c r="B451" s="198" t="s">
        <v>546</v>
      </c>
      <c r="C451" s="197" t="s">
        <v>99</v>
      </c>
      <c r="D451" s="214">
        <v>1</v>
      </c>
      <c r="H451" s="231" t="s">
        <v>497</v>
      </c>
      <c r="I451" s="306">
        <v>24728.5</v>
      </c>
    </row>
    <row r="452" spans="1:9" ht="11.85" customHeight="1" x14ac:dyDescent="0.25">
      <c r="A452" s="264"/>
      <c r="B452" s="198" t="s">
        <v>548</v>
      </c>
      <c r="C452" s="197" t="s">
        <v>99</v>
      </c>
      <c r="D452" s="214">
        <v>985</v>
      </c>
      <c r="H452" s="231" t="s">
        <v>499</v>
      </c>
      <c r="I452" s="306">
        <v>3766693.61</v>
      </c>
    </row>
    <row r="453" spans="1:9" ht="11.85" customHeight="1" x14ac:dyDescent="0.25">
      <c r="A453" s="264"/>
      <c r="B453" s="198" t="s">
        <v>550</v>
      </c>
      <c r="C453" s="197" t="s">
        <v>99</v>
      </c>
      <c r="D453" s="214">
        <v>2</v>
      </c>
      <c r="H453" s="231" t="s">
        <v>502</v>
      </c>
      <c r="I453" s="306">
        <v>257210.7</v>
      </c>
    </row>
    <row r="454" spans="1:9" ht="11.85" customHeight="1" x14ac:dyDescent="0.25">
      <c r="A454" s="264"/>
      <c r="B454" s="198" t="s">
        <v>552</v>
      </c>
      <c r="C454" s="197" t="s">
        <v>99</v>
      </c>
      <c r="D454" s="214">
        <v>122</v>
      </c>
      <c r="H454" s="231" t="s">
        <v>504</v>
      </c>
      <c r="I454" s="306">
        <v>3095107.33</v>
      </c>
    </row>
    <row r="455" spans="1:9" ht="11.85" customHeight="1" x14ac:dyDescent="0.25">
      <c r="A455" s="264"/>
      <c r="B455" s="198" t="s">
        <v>554</v>
      </c>
      <c r="C455" s="197" t="s">
        <v>99</v>
      </c>
      <c r="D455" s="197"/>
      <c r="H455" s="237" t="s">
        <v>505</v>
      </c>
      <c r="I455" s="307">
        <v>1393631.75</v>
      </c>
    </row>
    <row r="456" spans="1:9" ht="11.85" customHeight="1" x14ac:dyDescent="0.25">
      <c r="A456" s="264"/>
      <c r="B456" s="198" t="s">
        <v>556</v>
      </c>
      <c r="C456" s="197" t="s">
        <v>99</v>
      </c>
      <c r="D456" s="214">
        <v>29</v>
      </c>
      <c r="H456" s="239" t="s">
        <v>442</v>
      </c>
      <c r="I456" s="308"/>
    </row>
    <row r="457" spans="1:9" ht="11.85" customHeight="1" x14ac:dyDescent="0.25">
      <c r="A457" s="264"/>
      <c r="B457" s="198" t="s">
        <v>558</v>
      </c>
      <c r="C457" s="197" t="s">
        <v>99</v>
      </c>
      <c r="D457" s="214">
        <v>1</v>
      </c>
      <c r="H457" s="231" t="s">
        <v>508</v>
      </c>
      <c r="I457" s="309">
        <v>532.91999999999996</v>
      </c>
    </row>
    <row r="458" spans="1:9" ht="11.85" customHeight="1" x14ac:dyDescent="0.25">
      <c r="A458" s="264"/>
      <c r="B458" s="198" t="s">
        <v>560</v>
      </c>
      <c r="C458" s="197" t="s">
        <v>99</v>
      </c>
      <c r="D458" s="197"/>
      <c r="H458" s="237" t="s">
        <v>510</v>
      </c>
      <c r="I458" s="307">
        <v>984947.1</v>
      </c>
    </row>
    <row r="459" spans="1:9" ht="11.85" customHeight="1" x14ac:dyDescent="0.25">
      <c r="A459" s="264"/>
      <c r="B459" s="198" t="s">
        <v>562</v>
      </c>
      <c r="C459" s="197" t="s">
        <v>99</v>
      </c>
      <c r="D459" s="214">
        <v>99</v>
      </c>
      <c r="H459" s="239" t="s">
        <v>442</v>
      </c>
      <c r="I459" s="308"/>
    </row>
    <row r="460" spans="1:9" ht="11.85" customHeight="1" x14ac:dyDescent="0.25">
      <c r="A460" s="264"/>
      <c r="B460" s="198" t="s">
        <v>564</v>
      </c>
      <c r="C460" s="197" t="s">
        <v>99</v>
      </c>
      <c r="D460" s="214">
        <v>141</v>
      </c>
      <c r="H460" s="247" t="s">
        <v>513</v>
      </c>
      <c r="I460" s="310">
        <v>228.35</v>
      </c>
    </row>
    <row r="461" spans="1:9" ht="11.85" customHeight="1" x14ac:dyDescent="0.25">
      <c r="A461" s="264"/>
      <c r="B461" s="198" t="s">
        <v>566</v>
      </c>
      <c r="C461" s="197" t="s">
        <v>99</v>
      </c>
      <c r="D461" s="214">
        <v>-8</v>
      </c>
      <c r="H461" s="247" t="s">
        <v>515</v>
      </c>
      <c r="I461" s="311">
        <v>44717.21</v>
      </c>
    </row>
    <row r="462" spans="1:9" ht="11.85" customHeight="1" x14ac:dyDescent="0.25">
      <c r="A462" s="264"/>
      <c r="B462" s="198" t="s">
        <v>568</v>
      </c>
      <c r="C462" s="197" t="s">
        <v>99</v>
      </c>
      <c r="D462" s="214">
        <v>23</v>
      </c>
      <c r="H462" s="247" t="s">
        <v>518</v>
      </c>
      <c r="I462" s="311">
        <v>152951.32</v>
      </c>
    </row>
    <row r="463" spans="1:9" ht="11.85" customHeight="1" x14ac:dyDescent="0.25">
      <c r="A463" s="264" t="s">
        <v>90</v>
      </c>
      <c r="B463" s="198" t="s">
        <v>36</v>
      </c>
      <c r="C463" s="197" t="s">
        <v>99</v>
      </c>
      <c r="D463" s="276">
        <v>871</v>
      </c>
      <c r="H463" s="247" t="s">
        <v>520</v>
      </c>
      <c r="I463" s="310">
        <v>635</v>
      </c>
    </row>
    <row r="464" spans="1:9" ht="11.85" customHeight="1" x14ac:dyDescent="0.25">
      <c r="A464" s="264" t="s">
        <v>91</v>
      </c>
      <c r="B464" s="189" t="s">
        <v>123</v>
      </c>
      <c r="C464" s="188" t="s">
        <v>99</v>
      </c>
      <c r="D464" s="268">
        <v>845</v>
      </c>
      <c r="H464" s="247" t="s">
        <v>522</v>
      </c>
      <c r="I464" s="311">
        <v>3565.05</v>
      </c>
    </row>
    <row r="465" spans="1:9" ht="11.85" customHeight="1" x14ac:dyDescent="0.25">
      <c r="A465" s="264"/>
      <c r="B465" s="211" t="s">
        <v>360</v>
      </c>
      <c r="C465" s="197"/>
      <c r="D465" s="197"/>
      <c r="H465" s="247" t="s">
        <v>524</v>
      </c>
      <c r="I465" s="311">
        <v>134328.09</v>
      </c>
    </row>
    <row r="466" spans="1:9" ht="11.85" customHeight="1" x14ac:dyDescent="0.25">
      <c r="A466" s="264"/>
      <c r="B466" s="198" t="s">
        <v>574</v>
      </c>
      <c r="C466" s="197" t="s">
        <v>99</v>
      </c>
      <c r="D466" s="214">
        <v>216</v>
      </c>
      <c r="H466" s="247" t="s">
        <v>526</v>
      </c>
      <c r="I466" s="311">
        <v>29942.81</v>
      </c>
    </row>
    <row r="467" spans="1:9" ht="11.85" customHeight="1" x14ac:dyDescent="0.25">
      <c r="A467" s="264"/>
      <c r="B467" s="198" t="s">
        <v>576</v>
      </c>
      <c r="C467" s="197" t="s">
        <v>99</v>
      </c>
      <c r="D467" s="214">
        <v>629</v>
      </c>
      <c r="H467" s="247" t="s">
        <v>527</v>
      </c>
      <c r="I467" s="311">
        <v>48785.760000000002</v>
      </c>
    </row>
    <row r="468" spans="1:9" ht="11.85" customHeight="1" x14ac:dyDescent="0.25">
      <c r="A468" s="263" t="s">
        <v>215</v>
      </c>
      <c r="B468" s="189" t="s">
        <v>416</v>
      </c>
      <c r="C468" s="188" t="s">
        <v>99</v>
      </c>
      <c r="D468" s="262">
        <v>165151</v>
      </c>
      <c r="E468" s="191">
        <f>H1191</f>
        <v>165151</v>
      </c>
      <c r="H468" s="247" t="s">
        <v>529</v>
      </c>
      <c r="I468" s="311">
        <v>88175.95</v>
      </c>
    </row>
    <row r="469" spans="1:9" ht="11.85" customHeight="1" x14ac:dyDescent="0.25">
      <c r="A469" s="264" t="s">
        <v>152</v>
      </c>
      <c r="B469" s="198" t="s">
        <v>134</v>
      </c>
      <c r="C469" s="197" t="s">
        <v>99</v>
      </c>
      <c r="D469" s="276">
        <v>28</v>
      </c>
      <c r="H469" s="247" t="s">
        <v>531</v>
      </c>
      <c r="I469" s="311">
        <v>75387.78</v>
      </c>
    </row>
    <row r="470" spans="1:9" ht="11.85" customHeight="1" x14ac:dyDescent="0.25">
      <c r="A470" s="264" t="s">
        <v>153</v>
      </c>
      <c r="B470" s="189" t="s">
        <v>141</v>
      </c>
      <c r="C470" s="188" t="s">
        <v>99</v>
      </c>
      <c r="D470" s="268">
        <v>3</v>
      </c>
      <c r="H470" s="247" t="s">
        <v>533</v>
      </c>
      <c r="I470" s="311">
        <v>58591.51</v>
      </c>
    </row>
    <row r="471" spans="1:9" ht="11.85" customHeight="1" x14ac:dyDescent="0.25">
      <c r="A471" s="264"/>
      <c r="B471" s="211" t="s">
        <v>360</v>
      </c>
      <c r="C471" s="197"/>
      <c r="D471" s="197"/>
      <c r="H471" s="247" t="s">
        <v>535</v>
      </c>
      <c r="I471" s="311">
        <v>3060.68</v>
      </c>
    </row>
    <row r="472" spans="1:9" ht="11.85" customHeight="1" x14ac:dyDescent="0.25">
      <c r="A472" s="264"/>
      <c r="B472" s="198" t="s">
        <v>488</v>
      </c>
      <c r="C472" s="197" t="s">
        <v>99</v>
      </c>
      <c r="D472" s="214">
        <v>2</v>
      </c>
      <c r="H472" s="247" t="s">
        <v>537</v>
      </c>
      <c r="I472" s="311">
        <v>61504.34</v>
      </c>
    </row>
    <row r="473" spans="1:9" ht="11.85" customHeight="1" x14ac:dyDescent="0.25">
      <c r="A473" s="264"/>
      <c r="B473" s="198" t="s">
        <v>490</v>
      </c>
      <c r="C473" s="197" t="s">
        <v>99</v>
      </c>
      <c r="D473" s="214">
        <v>1</v>
      </c>
      <c r="H473" s="247" t="s">
        <v>539</v>
      </c>
      <c r="I473" s="311">
        <v>10052.09</v>
      </c>
    </row>
    <row r="474" spans="1:9" ht="11.85" customHeight="1" x14ac:dyDescent="0.25">
      <c r="A474" s="264"/>
      <c r="B474" s="198" t="s">
        <v>491</v>
      </c>
      <c r="C474" s="197" t="s">
        <v>99</v>
      </c>
      <c r="D474" s="197"/>
      <c r="H474" s="247" t="s">
        <v>542</v>
      </c>
      <c r="I474" s="311">
        <v>7299.75</v>
      </c>
    </row>
    <row r="475" spans="1:9" ht="11.85" customHeight="1" x14ac:dyDescent="0.25">
      <c r="A475" s="263" t="s">
        <v>154</v>
      </c>
      <c r="B475" s="189" t="s">
        <v>117</v>
      </c>
      <c r="C475" s="188" t="s">
        <v>99</v>
      </c>
      <c r="D475" s="262">
        <v>165120</v>
      </c>
      <c r="H475" s="247" t="s">
        <v>544</v>
      </c>
      <c r="I475" s="310">
        <v>150.13999999999999</v>
      </c>
    </row>
    <row r="476" spans="1:9" ht="11.85" customHeight="1" x14ac:dyDescent="0.25">
      <c r="A476" s="264" t="s">
        <v>700</v>
      </c>
      <c r="B476" s="198" t="s">
        <v>137</v>
      </c>
      <c r="C476" s="197" t="s">
        <v>99</v>
      </c>
      <c r="D476" s="267"/>
      <c r="H476" s="247" t="s">
        <v>545</v>
      </c>
      <c r="I476" s="311">
        <v>3275.87</v>
      </c>
    </row>
    <row r="477" spans="1:9" ht="11.85" customHeight="1" x14ac:dyDescent="0.25">
      <c r="A477" s="264" t="s">
        <v>701</v>
      </c>
      <c r="B477" s="198" t="s">
        <v>25</v>
      </c>
      <c r="C477" s="197" t="s">
        <v>99</v>
      </c>
      <c r="D477" s="267"/>
      <c r="H477" s="247" t="s">
        <v>547</v>
      </c>
      <c r="I477" s="311">
        <v>24836.29</v>
      </c>
    </row>
    <row r="478" spans="1:9" ht="11.85" customHeight="1" x14ac:dyDescent="0.25">
      <c r="A478" s="264" t="s">
        <v>702</v>
      </c>
      <c r="B478" s="198" t="s">
        <v>582</v>
      </c>
      <c r="C478" s="197" t="s">
        <v>99</v>
      </c>
      <c r="D478" s="267"/>
      <c r="H478" s="247" t="s">
        <v>549</v>
      </c>
      <c r="I478" s="310">
        <v>304.63</v>
      </c>
    </row>
    <row r="479" spans="1:9" ht="22.35" customHeight="1" x14ac:dyDescent="0.25">
      <c r="A479" s="264" t="s">
        <v>703</v>
      </c>
      <c r="B479" s="198" t="s">
        <v>584</v>
      </c>
      <c r="C479" s="197" t="s">
        <v>99</v>
      </c>
      <c r="D479" s="267"/>
      <c r="H479" s="247" t="s">
        <v>551</v>
      </c>
      <c r="I479" s="311">
        <v>114983.33</v>
      </c>
    </row>
    <row r="480" spans="1:9" ht="11.85" customHeight="1" x14ac:dyDescent="0.25">
      <c r="A480" s="264" t="s">
        <v>704</v>
      </c>
      <c r="B480" s="198" t="s">
        <v>138</v>
      </c>
      <c r="C480" s="197" t="s">
        <v>99</v>
      </c>
      <c r="D480" s="267"/>
      <c r="H480" s="247" t="s">
        <v>553</v>
      </c>
      <c r="I480" s="311">
        <v>122171.15</v>
      </c>
    </row>
    <row r="481" spans="1:9" ht="11.85" customHeight="1" x14ac:dyDescent="0.25">
      <c r="A481" s="263" t="s">
        <v>705</v>
      </c>
      <c r="B481" s="189" t="s">
        <v>587</v>
      </c>
      <c r="C481" s="188" t="s">
        <v>99</v>
      </c>
      <c r="D481" s="262">
        <v>165120</v>
      </c>
      <c r="H481" s="231" t="s">
        <v>555</v>
      </c>
      <c r="I481" s="306">
        <v>1747.7</v>
      </c>
    </row>
    <row r="482" spans="1:9" ht="11.85" customHeight="1" x14ac:dyDescent="0.25">
      <c r="A482" s="264" t="s">
        <v>706</v>
      </c>
      <c r="B482" s="189" t="s">
        <v>589</v>
      </c>
      <c r="C482" s="188" t="s">
        <v>99</v>
      </c>
      <c r="D482" s="186"/>
      <c r="H482" s="231" t="s">
        <v>557</v>
      </c>
      <c r="I482" s="306">
        <v>121933</v>
      </c>
    </row>
    <row r="483" spans="1:9" ht="11.85" customHeight="1" x14ac:dyDescent="0.25">
      <c r="A483" s="264"/>
      <c r="B483" s="211" t="s">
        <v>360</v>
      </c>
      <c r="C483" s="197"/>
      <c r="D483" s="197"/>
      <c r="H483" s="231" t="s">
        <v>559</v>
      </c>
      <c r="I483" s="306">
        <v>28891.55</v>
      </c>
    </row>
    <row r="484" spans="1:9" ht="11.85" customHeight="1" x14ac:dyDescent="0.25">
      <c r="A484" s="264"/>
      <c r="B484" s="198" t="s">
        <v>506</v>
      </c>
      <c r="C484" s="197" t="s">
        <v>99</v>
      </c>
      <c r="D484" s="197"/>
      <c r="H484" s="231" t="s">
        <v>561</v>
      </c>
      <c r="I484" s="309">
        <v>699.57</v>
      </c>
    </row>
    <row r="485" spans="1:9" ht="11.85" customHeight="1" x14ac:dyDescent="0.25">
      <c r="A485" s="264"/>
      <c r="B485" s="198" t="s">
        <v>507</v>
      </c>
      <c r="C485" s="197" t="s">
        <v>99</v>
      </c>
      <c r="D485" s="197"/>
      <c r="H485" s="231" t="s">
        <v>563</v>
      </c>
      <c r="I485" s="306">
        <v>99003.69</v>
      </c>
    </row>
    <row r="486" spans="1:9" ht="11.85" customHeight="1" x14ac:dyDescent="0.25">
      <c r="A486" s="264"/>
      <c r="B486" s="198" t="s">
        <v>509</v>
      </c>
      <c r="C486" s="197" t="s">
        <v>99</v>
      </c>
      <c r="D486" s="197"/>
      <c r="H486" s="231" t="s">
        <v>565</v>
      </c>
      <c r="I486" s="306">
        <v>140862.01</v>
      </c>
    </row>
    <row r="487" spans="1:9" ht="11.85" customHeight="1" x14ac:dyDescent="0.25">
      <c r="A487" s="264"/>
      <c r="B487" s="198" t="s">
        <v>511</v>
      </c>
      <c r="C487" s="197" t="s">
        <v>99</v>
      </c>
      <c r="D487" s="197"/>
      <c r="H487" s="231" t="s">
        <v>567</v>
      </c>
      <c r="I487" s="306">
        <v>870814.11</v>
      </c>
    </row>
    <row r="488" spans="1:9" ht="11.85" customHeight="1" x14ac:dyDescent="0.25">
      <c r="A488" s="264"/>
      <c r="B488" s="198" t="s">
        <v>512</v>
      </c>
      <c r="C488" s="197" t="s">
        <v>99</v>
      </c>
      <c r="D488" s="197"/>
      <c r="H488" s="237" t="s">
        <v>569</v>
      </c>
      <c r="I488" s="307">
        <v>844915.38</v>
      </c>
    </row>
    <row r="489" spans="1:9" ht="11.85" customHeight="1" x14ac:dyDescent="0.25">
      <c r="A489" s="264" t="s">
        <v>707</v>
      </c>
      <c r="B489" s="189" t="s">
        <v>591</v>
      </c>
      <c r="C489" s="188" t="s">
        <v>99</v>
      </c>
      <c r="D489" s="186"/>
      <c r="H489" s="239" t="s">
        <v>442</v>
      </c>
      <c r="I489" s="308"/>
    </row>
    <row r="490" spans="1:9" ht="11.85" customHeight="1" x14ac:dyDescent="0.25">
      <c r="A490" s="264"/>
      <c r="B490" s="211" t="s">
        <v>360</v>
      </c>
      <c r="C490" s="197"/>
      <c r="D490" s="197"/>
      <c r="H490" s="231" t="s">
        <v>572</v>
      </c>
      <c r="I490" s="306">
        <v>215706.7</v>
      </c>
    </row>
    <row r="491" spans="1:9" ht="11.85" customHeight="1" x14ac:dyDescent="0.25">
      <c r="A491" s="264"/>
      <c r="B491" s="198" t="s">
        <v>528</v>
      </c>
      <c r="C491" s="197" t="s">
        <v>99</v>
      </c>
      <c r="D491" s="197"/>
      <c r="H491" s="231" t="s">
        <v>573</v>
      </c>
      <c r="I491" s="306">
        <v>629208.68999999994</v>
      </c>
    </row>
    <row r="492" spans="1:9" ht="11.85" customHeight="1" thickBot="1" x14ac:dyDescent="0.3">
      <c r="A492" s="264"/>
      <c r="B492" s="198" t="s">
        <v>530</v>
      </c>
      <c r="C492" s="197" t="s">
        <v>99</v>
      </c>
      <c r="D492" s="197"/>
      <c r="H492" s="251" t="s">
        <v>575</v>
      </c>
      <c r="I492" s="312">
        <v>65094287.780000001</v>
      </c>
    </row>
    <row r="493" spans="1:9" ht="11.85" customHeight="1" x14ac:dyDescent="0.25">
      <c r="A493" s="264"/>
      <c r="B493" s="198" t="s">
        <v>532</v>
      </c>
      <c r="C493" s="197" t="s">
        <v>99</v>
      </c>
      <c r="D493" s="197"/>
    </row>
    <row r="494" spans="1:9" ht="11.85" customHeight="1" x14ac:dyDescent="0.25">
      <c r="A494" s="264"/>
      <c r="B494" s="198" t="s">
        <v>592</v>
      </c>
      <c r="C494" s="197" t="s">
        <v>99</v>
      </c>
      <c r="D494" s="197"/>
    </row>
    <row r="495" spans="1:9" ht="11.85" customHeight="1" x14ac:dyDescent="0.25">
      <c r="A495" s="264" t="s">
        <v>708</v>
      </c>
      <c r="B495" s="198" t="s">
        <v>594</v>
      </c>
      <c r="C495" s="197" t="s">
        <v>99</v>
      </c>
      <c r="D495" s="267"/>
    </row>
    <row r="496" spans="1:9" ht="11.85" customHeight="1" x14ac:dyDescent="0.25">
      <c r="A496" s="264" t="s">
        <v>709</v>
      </c>
      <c r="B496" s="198" t="s">
        <v>596</v>
      </c>
      <c r="C496" s="197" t="s">
        <v>99</v>
      </c>
      <c r="D496" s="267"/>
    </row>
    <row r="497" spans="1:10" ht="11.85" customHeight="1" x14ac:dyDescent="0.25">
      <c r="A497" s="264" t="s">
        <v>710</v>
      </c>
      <c r="B497" s="198" t="s">
        <v>598</v>
      </c>
      <c r="C497" s="197" t="s">
        <v>99</v>
      </c>
      <c r="D497" s="266">
        <v>157669</v>
      </c>
    </row>
    <row r="498" spans="1:10" ht="11.85" customHeight="1" x14ac:dyDescent="0.25">
      <c r="A498" s="264" t="s">
        <v>711</v>
      </c>
      <c r="B498" s="198" t="s">
        <v>600</v>
      </c>
      <c r="C498" s="197" t="s">
        <v>99</v>
      </c>
      <c r="D498" s="267"/>
    </row>
    <row r="499" spans="1:10" ht="11.85" customHeight="1" x14ac:dyDescent="0.25">
      <c r="A499" s="264" t="s">
        <v>712</v>
      </c>
      <c r="B499" s="198" t="s">
        <v>688</v>
      </c>
      <c r="C499" s="197" t="s">
        <v>99</v>
      </c>
      <c r="D499" s="266">
        <v>7450</v>
      </c>
    </row>
    <row r="500" spans="1:10" ht="11.85" customHeight="1" x14ac:dyDescent="0.25">
      <c r="A500" s="264" t="s">
        <v>713</v>
      </c>
      <c r="B500" s="198" t="s">
        <v>730</v>
      </c>
      <c r="C500" s="197" t="s">
        <v>99</v>
      </c>
      <c r="D500" s="267"/>
    </row>
    <row r="501" spans="1:10" ht="11.85" customHeight="1" x14ac:dyDescent="0.25">
      <c r="A501" s="264" t="s">
        <v>715</v>
      </c>
      <c r="B501" s="198" t="s">
        <v>731</v>
      </c>
      <c r="C501" s="197" t="s">
        <v>99</v>
      </c>
      <c r="D501" s="266">
        <v>7450</v>
      </c>
    </row>
    <row r="502" spans="1:10" s="244" customFormat="1" ht="11.85" customHeight="1" x14ac:dyDescent="0.2">
      <c r="A502" s="313">
        <v>8</v>
      </c>
      <c r="B502" s="189" t="s">
        <v>38</v>
      </c>
      <c r="C502" s="188" t="s">
        <v>99</v>
      </c>
      <c r="D502" s="186"/>
    </row>
    <row r="503" spans="1:10" s="244" customFormat="1" ht="11.85" customHeight="1" x14ac:dyDescent="0.2">
      <c r="A503" s="188" t="s">
        <v>39</v>
      </c>
      <c r="B503" s="189" t="s">
        <v>124</v>
      </c>
      <c r="C503" s="188" t="s">
        <v>99</v>
      </c>
      <c r="D503" s="262">
        <v>2794584</v>
      </c>
    </row>
    <row r="504" spans="1:10" x14ac:dyDescent="0.25">
      <c r="A504" s="473" t="s">
        <v>648</v>
      </c>
      <c r="B504" s="473"/>
      <c r="C504" s="473"/>
      <c r="D504" s="473"/>
    </row>
    <row r="505" spans="1:10" x14ac:dyDescent="0.25">
      <c r="A505" s="473" t="s">
        <v>650</v>
      </c>
      <c r="B505" s="473"/>
      <c r="C505" s="473"/>
      <c r="D505" s="473"/>
      <c r="H505" s="183" t="s">
        <v>732</v>
      </c>
    </row>
    <row r="506" spans="1:10" x14ac:dyDescent="0.25">
      <c r="A506" s="477" t="s">
        <v>733</v>
      </c>
      <c r="B506" s="477"/>
      <c r="C506" s="477"/>
      <c r="D506" s="477"/>
      <c r="H506" s="185" t="s">
        <v>734</v>
      </c>
    </row>
    <row r="508" spans="1:10" ht="22.35" customHeight="1" x14ac:dyDescent="0.25">
      <c r="A508" s="186" t="s">
        <v>2</v>
      </c>
      <c r="B508" s="186" t="s">
        <v>653</v>
      </c>
      <c r="C508" s="186" t="s">
        <v>5</v>
      </c>
      <c r="D508" s="314">
        <v>2019</v>
      </c>
      <c r="H508" s="187" t="s">
        <v>721</v>
      </c>
    </row>
    <row r="509" spans="1:10" ht="22.35" customHeight="1" x14ac:dyDescent="0.25">
      <c r="A509" s="253" t="s">
        <v>6</v>
      </c>
      <c r="B509" s="189" t="s">
        <v>720</v>
      </c>
      <c r="C509" s="253" t="s">
        <v>99</v>
      </c>
      <c r="D509" s="262">
        <v>380122</v>
      </c>
    </row>
    <row r="510" spans="1:10" ht="11.85" customHeight="1" x14ac:dyDescent="0.25">
      <c r="A510" s="189" t="s">
        <v>0</v>
      </c>
      <c r="B510" s="189" t="s">
        <v>55</v>
      </c>
      <c r="C510" s="253" t="s">
        <v>99</v>
      </c>
      <c r="D510" s="262">
        <v>200529</v>
      </c>
      <c r="G510" s="474" t="s">
        <v>2</v>
      </c>
      <c r="H510" s="475" t="s">
        <v>722</v>
      </c>
      <c r="I510" s="192">
        <v>2019</v>
      </c>
      <c r="J510" s="193"/>
    </row>
    <row r="511" spans="1:10" ht="11.85" customHeight="1" x14ac:dyDescent="0.25">
      <c r="A511" s="198" t="s">
        <v>46</v>
      </c>
      <c r="B511" s="198" t="s">
        <v>94</v>
      </c>
      <c r="C511" s="249" t="s">
        <v>99</v>
      </c>
      <c r="D511" s="266">
        <v>29261</v>
      </c>
      <c r="E511" s="191">
        <f>D511+D513+D541+D542+D543</f>
        <v>30604</v>
      </c>
      <c r="F511" s="200">
        <f>J531+J524</f>
        <v>30603288.390000001</v>
      </c>
      <c r="G511" s="474"/>
      <c r="H511" s="475"/>
      <c r="I511" s="195"/>
      <c r="J511" s="196">
        <v>2707707</v>
      </c>
    </row>
    <row r="512" spans="1:10" ht="11.85" customHeight="1" x14ac:dyDescent="0.25">
      <c r="A512" s="198" t="s">
        <v>56</v>
      </c>
      <c r="B512" s="198" t="s">
        <v>57</v>
      </c>
      <c r="C512" s="249" t="s">
        <v>99</v>
      </c>
      <c r="D512" s="267"/>
      <c r="G512" s="474"/>
      <c r="H512" s="475" t="s">
        <v>337</v>
      </c>
      <c r="I512" s="201" t="s">
        <v>338</v>
      </c>
      <c r="J512" s="193"/>
    </row>
    <row r="513" spans="1:10" ht="11.85" customHeight="1" x14ac:dyDescent="0.25">
      <c r="A513" s="264" t="s">
        <v>98</v>
      </c>
      <c r="B513" s="189" t="s">
        <v>16</v>
      </c>
      <c r="C513" s="188" t="s">
        <v>99</v>
      </c>
      <c r="D513" s="268">
        <v>475</v>
      </c>
      <c r="G513" s="474"/>
      <c r="H513" s="475"/>
      <c r="I513" s="203" t="s">
        <v>341</v>
      </c>
      <c r="J513" s="203" t="s">
        <v>342</v>
      </c>
    </row>
    <row r="514" spans="1:10" ht="11.85" customHeight="1" x14ac:dyDescent="0.25">
      <c r="A514" s="264"/>
      <c r="B514" s="211" t="s">
        <v>360</v>
      </c>
      <c r="C514" s="197"/>
      <c r="D514" s="197"/>
      <c r="G514" s="204"/>
    </row>
    <row r="515" spans="1:10" ht="11.85" customHeight="1" x14ac:dyDescent="0.25">
      <c r="A515" s="264"/>
      <c r="B515" s="198" t="s">
        <v>656</v>
      </c>
      <c r="C515" s="197" t="s">
        <v>99</v>
      </c>
      <c r="D515" s="214">
        <v>324</v>
      </c>
      <c r="G515" s="205">
        <v>1</v>
      </c>
      <c r="H515" s="206" t="s">
        <v>52</v>
      </c>
      <c r="I515" s="210"/>
      <c r="J515" s="210"/>
    </row>
    <row r="516" spans="1:10" ht="11.85" customHeight="1" x14ac:dyDescent="0.25">
      <c r="A516" s="264"/>
      <c r="B516" s="198" t="s">
        <v>657</v>
      </c>
      <c r="C516" s="197" t="s">
        <v>99</v>
      </c>
      <c r="D516" s="214">
        <v>58</v>
      </c>
      <c r="G516" s="205">
        <v>2</v>
      </c>
      <c r="H516" s="206" t="s">
        <v>347</v>
      </c>
      <c r="I516" s="210"/>
      <c r="J516" s="210"/>
    </row>
    <row r="517" spans="1:10" ht="11.85" customHeight="1" x14ac:dyDescent="0.25">
      <c r="A517" s="264"/>
      <c r="B517" s="198" t="s">
        <v>658</v>
      </c>
      <c r="C517" s="197" t="s">
        <v>99</v>
      </c>
      <c r="D517" s="214">
        <v>92</v>
      </c>
      <c r="G517" s="205">
        <v>3</v>
      </c>
      <c r="H517" s="206" t="s">
        <v>349</v>
      </c>
      <c r="I517" s="210"/>
      <c r="J517" s="210"/>
    </row>
    <row r="518" spans="1:10" ht="11.85" customHeight="1" x14ac:dyDescent="0.25">
      <c r="A518" s="198" t="s">
        <v>58</v>
      </c>
      <c r="B518" s="198" t="s">
        <v>661</v>
      </c>
      <c r="C518" s="249" t="s">
        <v>99</v>
      </c>
      <c r="D518" s="267"/>
      <c r="G518" s="205">
        <v>4</v>
      </c>
      <c r="H518" s="206" t="s">
        <v>351</v>
      </c>
      <c r="I518" s="210"/>
      <c r="J518" s="210"/>
    </row>
    <row r="519" spans="1:10" ht="11.85" customHeight="1" x14ac:dyDescent="0.25">
      <c r="A519" s="198" t="s">
        <v>59</v>
      </c>
      <c r="B519" s="189" t="s">
        <v>60</v>
      </c>
      <c r="C519" s="253" t="s">
        <v>99</v>
      </c>
      <c r="D519" s="262">
        <v>170793</v>
      </c>
      <c r="G519" s="205">
        <v>5</v>
      </c>
      <c r="H519" s="206" t="s">
        <v>353</v>
      </c>
      <c r="I519" s="210"/>
      <c r="J519" s="210"/>
    </row>
    <row r="520" spans="1:10" ht="11.85" customHeight="1" x14ac:dyDescent="0.25">
      <c r="A520" s="264"/>
      <c r="B520" s="211" t="s">
        <v>360</v>
      </c>
      <c r="C520" s="197"/>
      <c r="D520" s="197"/>
      <c r="G520" s="205">
        <v>6</v>
      </c>
      <c r="H520" s="206" t="s">
        <v>355</v>
      </c>
      <c r="I520" s="210"/>
      <c r="J520" s="210"/>
    </row>
    <row r="521" spans="1:10" ht="11.85" customHeight="1" x14ac:dyDescent="0.25">
      <c r="A521" s="264"/>
      <c r="B521" s="198" t="s">
        <v>723</v>
      </c>
      <c r="C521" s="197" t="s">
        <v>99</v>
      </c>
      <c r="D521" s="199">
        <v>129147</v>
      </c>
      <c r="E521" s="200">
        <f>J523</f>
        <v>129147305.62</v>
      </c>
      <c r="G521" s="205">
        <v>7</v>
      </c>
      <c r="H521" s="206" t="s">
        <v>357</v>
      </c>
      <c r="I521" s="210"/>
      <c r="J521" s="210"/>
    </row>
    <row r="522" spans="1:10" ht="11.85" customHeight="1" x14ac:dyDescent="0.25">
      <c r="A522" s="264"/>
      <c r="B522" s="198" t="s">
        <v>724</v>
      </c>
      <c r="C522" s="197" t="s">
        <v>99</v>
      </c>
      <c r="D522" s="199">
        <v>41646</v>
      </c>
      <c r="E522" s="200">
        <f>J522</f>
        <v>41646154.869999997</v>
      </c>
      <c r="G522" s="205">
        <v>8</v>
      </c>
      <c r="H522" s="206" t="s">
        <v>359</v>
      </c>
      <c r="I522" s="209">
        <v>15.38</v>
      </c>
      <c r="J522" s="207">
        <v>41646154.869999997</v>
      </c>
    </row>
    <row r="523" spans="1:10" s="244" customFormat="1" ht="11.85" customHeight="1" x14ac:dyDescent="0.2">
      <c r="A523" s="189" t="s">
        <v>1</v>
      </c>
      <c r="B523" s="189" t="s">
        <v>735</v>
      </c>
      <c r="C523" s="253" t="s">
        <v>99</v>
      </c>
      <c r="D523" s="262">
        <v>99200</v>
      </c>
      <c r="G523" s="205">
        <v>9</v>
      </c>
      <c r="H523" s="206" t="s">
        <v>361</v>
      </c>
      <c r="I523" s="209">
        <v>47.7</v>
      </c>
      <c r="J523" s="207">
        <v>129147305.62</v>
      </c>
    </row>
    <row r="524" spans="1:10" ht="11.85" customHeight="1" x14ac:dyDescent="0.25">
      <c r="A524" s="198" t="s">
        <v>106</v>
      </c>
      <c r="B524" s="198" t="s">
        <v>61</v>
      </c>
      <c r="C524" s="249" t="s">
        <v>99</v>
      </c>
      <c r="D524" s="266">
        <v>90114</v>
      </c>
      <c r="E524" s="200">
        <f>J525+J532</f>
        <v>90113761.420000002</v>
      </c>
      <c r="G524" s="205">
        <v>10</v>
      </c>
      <c r="H524" s="206" t="s">
        <v>363</v>
      </c>
      <c r="I524" s="209">
        <v>7.52</v>
      </c>
      <c r="J524" s="207">
        <v>20374933.960000001</v>
      </c>
    </row>
    <row r="525" spans="1:10" ht="11.85" customHeight="1" x14ac:dyDescent="0.25">
      <c r="A525" s="198" t="s">
        <v>47</v>
      </c>
      <c r="B525" s="189" t="s">
        <v>141</v>
      </c>
      <c r="C525" s="253" t="s">
        <v>99</v>
      </c>
      <c r="D525" s="262">
        <v>9086</v>
      </c>
      <c r="G525" s="205">
        <v>11</v>
      </c>
      <c r="H525" s="206" t="s">
        <v>366</v>
      </c>
      <c r="I525" s="209">
        <v>13.1</v>
      </c>
      <c r="J525" s="207">
        <v>35478443.039999999</v>
      </c>
    </row>
    <row r="526" spans="1:10" ht="11.85" customHeight="1" x14ac:dyDescent="0.25">
      <c r="A526" s="264"/>
      <c r="B526" s="211" t="s">
        <v>360</v>
      </c>
      <c r="C526" s="197"/>
      <c r="D526" s="197"/>
      <c r="G526" s="205">
        <v>12</v>
      </c>
      <c r="H526" s="206" t="s">
        <v>367</v>
      </c>
      <c r="I526" s="209">
        <v>0.72</v>
      </c>
      <c r="J526" s="207">
        <v>1963055.44</v>
      </c>
    </row>
    <row r="527" spans="1:10" ht="11.85" customHeight="1" x14ac:dyDescent="0.25">
      <c r="A527" s="264"/>
      <c r="B527" s="198" t="s">
        <v>368</v>
      </c>
      <c r="C527" s="197" t="s">
        <v>99</v>
      </c>
      <c r="D527" s="199">
        <v>5119</v>
      </c>
      <c r="E527" s="200">
        <f>J526+J533</f>
        <v>5118599.93</v>
      </c>
      <c r="G527" s="205">
        <v>13</v>
      </c>
      <c r="H527" s="206" t="s">
        <v>369</v>
      </c>
      <c r="I527" s="209">
        <v>0.59</v>
      </c>
      <c r="J527" s="207">
        <v>1599211.31</v>
      </c>
    </row>
    <row r="528" spans="1:10" ht="11.85" customHeight="1" x14ac:dyDescent="0.25">
      <c r="A528" s="264"/>
      <c r="B528" s="198" t="s">
        <v>370</v>
      </c>
      <c r="C528" s="197" t="s">
        <v>99</v>
      </c>
      <c r="D528" s="199">
        <v>2592</v>
      </c>
      <c r="E528" s="191">
        <f>D528+D529+D530</f>
        <v>3967</v>
      </c>
      <c r="F528" s="200">
        <f>J527+J534</f>
        <v>3967185.29</v>
      </c>
      <c r="G528" s="205">
        <v>14</v>
      </c>
      <c r="H528" s="206" t="s">
        <v>18</v>
      </c>
      <c r="I528" s="209">
        <v>11.58</v>
      </c>
      <c r="J528" s="207">
        <v>31345442.09</v>
      </c>
    </row>
    <row r="529" spans="1:10" ht="22.35" customHeight="1" x14ac:dyDescent="0.25">
      <c r="A529" s="264"/>
      <c r="B529" s="198" t="s">
        <v>371</v>
      </c>
      <c r="C529" s="197" t="s">
        <v>99</v>
      </c>
      <c r="D529" s="214">
        <v>74</v>
      </c>
      <c r="G529" s="212">
        <v>15</v>
      </c>
      <c r="H529" s="206" t="s">
        <v>372</v>
      </c>
      <c r="I529" s="209">
        <v>36.869999999999997</v>
      </c>
      <c r="J529" s="207">
        <v>99799867.969999999</v>
      </c>
    </row>
    <row r="530" spans="1:10" ht="11.85" customHeight="1" x14ac:dyDescent="0.25">
      <c r="A530" s="264"/>
      <c r="B530" s="198" t="s">
        <v>373</v>
      </c>
      <c r="C530" s="197" t="s">
        <v>99</v>
      </c>
      <c r="D530" s="199">
        <v>1301</v>
      </c>
      <c r="G530" s="213" t="s">
        <v>374</v>
      </c>
      <c r="H530" s="206" t="s">
        <v>111</v>
      </c>
      <c r="I530" s="209">
        <v>0.56999999999999995</v>
      </c>
      <c r="J530" s="207">
        <v>1534544.87</v>
      </c>
    </row>
    <row r="531" spans="1:10" s="244" customFormat="1" ht="11.85" customHeight="1" x14ac:dyDescent="0.2">
      <c r="A531" s="189" t="s">
        <v>54</v>
      </c>
      <c r="B531" s="189" t="s">
        <v>18</v>
      </c>
      <c r="C531" s="253" t="s">
        <v>99</v>
      </c>
      <c r="D531" s="262">
        <v>34268</v>
      </c>
      <c r="E531" s="243">
        <f>J528+J535</f>
        <v>34268097.579999998</v>
      </c>
      <c r="G531" s="213" t="s">
        <v>375</v>
      </c>
      <c r="H531" s="206" t="s">
        <v>376</v>
      </c>
      <c r="I531" s="209">
        <v>3.78</v>
      </c>
      <c r="J531" s="207">
        <v>10228354.43</v>
      </c>
    </row>
    <row r="532" spans="1:10" s="244" customFormat="1" ht="11.85" customHeight="1" x14ac:dyDescent="0.2">
      <c r="A532" s="189" t="s">
        <v>53</v>
      </c>
      <c r="B532" s="189" t="s">
        <v>108</v>
      </c>
      <c r="C532" s="253" t="s">
        <v>99</v>
      </c>
      <c r="D532" s="262">
        <v>10969</v>
      </c>
      <c r="E532" s="243">
        <f>J544</f>
        <v>10969365.130000001</v>
      </c>
      <c r="G532" s="213" t="s">
        <v>378</v>
      </c>
      <c r="H532" s="206" t="s">
        <v>379</v>
      </c>
      <c r="I532" s="209">
        <v>20.18</v>
      </c>
      <c r="J532" s="207">
        <v>54635318.380000003</v>
      </c>
    </row>
    <row r="533" spans="1:10" ht="22.35" customHeight="1" x14ac:dyDescent="0.25">
      <c r="A533" s="198" t="s">
        <v>109</v>
      </c>
      <c r="B533" s="198" t="s">
        <v>725</v>
      </c>
      <c r="C533" s="249" t="s">
        <v>99</v>
      </c>
      <c r="D533" s="266">
        <v>10969</v>
      </c>
      <c r="G533" s="213" t="s">
        <v>381</v>
      </c>
      <c r="H533" s="206" t="s">
        <v>367</v>
      </c>
      <c r="I533" s="209">
        <v>1.17</v>
      </c>
      <c r="J533" s="207">
        <v>3155544.49</v>
      </c>
    </row>
    <row r="534" spans="1:10" s="244" customFormat="1" ht="11.85" customHeight="1" x14ac:dyDescent="0.2">
      <c r="A534" s="315">
        <v>5</v>
      </c>
      <c r="B534" s="189" t="s">
        <v>97</v>
      </c>
      <c r="C534" s="253" t="s">
        <v>99</v>
      </c>
      <c r="D534" s="262">
        <v>35155</v>
      </c>
      <c r="G534" s="213" t="s">
        <v>382</v>
      </c>
      <c r="H534" s="206" t="s">
        <v>369</v>
      </c>
      <c r="I534" s="209">
        <v>0.87</v>
      </c>
      <c r="J534" s="207">
        <v>2367973.98</v>
      </c>
    </row>
    <row r="535" spans="1:10" ht="11.85" customHeight="1" x14ac:dyDescent="0.25">
      <c r="A535" s="198" t="s">
        <v>64</v>
      </c>
      <c r="B535" s="198" t="s">
        <v>28</v>
      </c>
      <c r="C535" s="249" t="s">
        <v>99</v>
      </c>
      <c r="D535" s="276">
        <v>40</v>
      </c>
      <c r="G535" s="213" t="s">
        <v>384</v>
      </c>
      <c r="H535" s="206" t="s">
        <v>18</v>
      </c>
      <c r="I535" s="209">
        <v>1.08</v>
      </c>
      <c r="J535" s="207">
        <v>2922655.49</v>
      </c>
    </row>
    <row r="536" spans="1:10" ht="11.85" customHeight="1" x14ac:dyDescent="0.25">
      <c r="A536" s="198" t="s">
        <v>65</v>
      </c>
      <c r="B536" s="198" t="s">
        <v>30</v>
      </c>
      <c r="C536" s="249" t="s">
        <v>99</v>
      </c>
      <c r="D536" s="316">
        <v>19858</v>
      </c>
      <c r="G536" s="213" t="s">
        <v>386</v>
      </c>
      <c r="H536" s="206" t="s">
        <v>387</v>
      </c>
      <c r="I536" s="209">
        <v>9.2200000000000006</v>
      </c>
      <c r="J536" s="207">
        <v>24955476.329999998</v>
      </c>
    </row>
    <row r="537" spans="1:10" ht="11.85" customHeight="1" x14ac:dyDescent="0.25">
      <c r="A537" s="198" t="s">
        <v>66</v>
      </c>
      <c r="B537" s="198" t="s">
        <v>26</v>
      </c>
      <c r="C537" s="249" t="s">
        <v>99</v>
      </c>
      <c r="D537" s="276">
        <v>36</v>
      </c>
      <c r="G537" s="213" t="s">
        <v>389</v>
      </c>
      <c r="H537" s="206" t="s">
        <v>377</v>
      </c>
      <c r="I537" s="210"/>
      <c r="J537" s="210"/>
    </row>
    <row r="538" spans="1:10" ht="11.85" customHeight="1" x14ac:dyDescent="0.25">
      <c r="A538" s="198" t="s">
        <v>67</v>
      </c>
      <c r="B538" s="198" t="s">
        <v>83</v>
      </c>
      <c r="C538" s="249" t="s">
        <v>99</v>
      </c>
      <c r="D538" s="276">
        <v>218</v>
      </c>
      <c r="G538" s="213" t="s">
        <v>391</v>
      </c>
      <c r="H538" s="215" t="s">
        <v>392</v>
      </c>
      <c r="I538" s="303">
        <v>133.47</v>
      </c>
      <c r="J538" s="216">
        <v>361354414.30000001</v>
      </c>
    </row>
    <row r="539" spans="1:10" ht="11.85" customHeight="1" x14ac:dyDescent="0.25">
      <c r="A539" s="198" t="s">
        <v>142</v>
      </c>
      <c r="B539" s="189" t="s">
        <v>31</v>
      </c>
      <c r="C539" s="253" t="s">
        <v>99</v>
      </c>
      <c r="D539" s="262">
        <v>1237</v>
      </c>
      <c r="G539" s="217"/>
      <c r="J539" s="218"/>
    </row>
    <row r="540" spans="1:10" ht="11.85" customHeight="1" x14ac:dyDescent="0.25">
      <c r="A540" s="264"/>
      <c r="B540" s="211" t="s">
        <v>360</v>
      </c>
      <c r="C540" s="197"/>
      <c r="D540" s="197"/>
      <c r="G540" s="205">
        <v>16</v>
      </c>
      <c r="H540" s="206" t="s">
        <v>395</v>
      </c>
      <c r="I540" s="210"/>
      <c r="J540" s="210"/>
    </row>
    <row r="541" spans="1:10" ht="11.85" customHeight="1" x14ac:dyDescent="0.25">
      <c r="A541" s="264"/>
      <c r="B541" s="198" t="s">
        <v>528</v>
      </c>
      <c r="C541" s="197" t="s">
        <v>99</v>
      </c>
      <c r="D541" s="214">
        <v>100</v>
      </c>
      <c r="G541" s="205">
        <v>17</v>
      </c>
      <c r="H541" s="206" t="s">
        <v>397</v>
      </c>
      <c r="I541" s="210"/>
      <c r="J541" s="210"/>
    </row>
    <row r="542" spans="1:10" ht="11.85" customHeight="1" x14ac:dyDescent="0.25">
      <c r="A542" s="264"/>
      <c r="B542" s="198" t="s">
        <v>530</v>
      </c>
      <c r="C542" s="197" t="s">
        <v>99</v>
      </c>
      <c r="D542" s="214">
        <v>27</v>
      </c>
      <c r="G542" s="205">
        <v>18</v>
      </c>
      <c r="H542" s="206" t="s">
        <v>399</v>
      </c>
      <c r="I542" s="210"/>
      <c r="J542" s="210"/>
    </row>
    <row r="543" spans="1:10" ht="11.85" customHeight="1" x14ac:dyDescent="0.25">
      <c r="A543" s="264"/>
      <c r="B543" s="198" t="s">
        <v>532</v>
      </c>
      <c r="C543" s="197" t="s">
        <v>99</v>
      </c>
      <c r="D543" s="214">
        <v>741</v>
      </c>
      <c r="G543" s="205">
        <v>19</v>
      </c>
      <c r="H543" s="206" t="s">
        <v>400</v>
      </c>
      <c r="I543" s="209">
        <v>2.88</v>
      </c>
      <c r="J543" s="207">
        <v>7798149.3399999999</v>
      </c>
    </row>
    <row r="544" spans="1:10" ht="11.85" customHeight="1" x14ac:dyDescent="0.25">
      <c r="A544" s="264"/>
      <c r="B544" s="198" t="s">
        <v>726</v>
      </c>
      <c r="C544" s="197" t="s">
        <v>99</v>
      </c>
      <c r="D544" s="291">
        <v>370</v>
      </c>
      <c r="G544" s="212">
        <v>20</v>
      </c>
      <c r="H544" s="206" t="s">
        <v>402</v>
      </c>
      <c r="I544" s="209">
        <v>4.05</v>
      </c>
      <c r="J544" s="207">
        <v>10969365.130000001</v>
      </c>
    </row>
    <row r="545" spans="1:10" ht="22.35" customHeight="1" x14ac:dyDescent="0.25">
      <c r="A545" s="198" t="s">
        <v>143</v>
      </c>
      <c r="B545" s="198" t="s">
        <v>144</v>
      </c>
      <c r="C545" s="249" t="s">
        <v>99</v>
      </c>
      <c r="D545" s="266">
        <v>1720</v>
      </c>
      <c r="E545">
        <f>20+1515</f>
        <v>1535</v>
      </c>
      <c r="G545" s="213" t="s">
        <v>404</v>
      </c>
      <c r="H545" s="215" t="s">
        <v>405</v>
      </c>
      <c r="I545" s="303">
        <v>140.4</v>
      </c>
      <c r="J545" s="216">
        <v>380121928.76999998</v>
      </c>
    </row>
    <row r="546" spans="1:10" ht="11.85" customHeight="1" x14ac:dyDescent="0.25">
      <c r="A546" s="198" t="s">
        <v>145</v>
      </c>
      <c r="B546" s="198" t="s">
        <v>146</v>
      </c>
      <c r="C546" s="249" t="s">
        <v>99</v>
      </c>
      <c r="D546" s="317">
        <v>671</v>
      </c>
      <c r="E546" s="200">
        <f>J536</f>
        <v>24955476.329999998</v>
      </c>
      <c r="F546" s="234">
        <f>E547-E545</f>
        <v>24955</v>
      </c>
      <c r="G546" s="217"/>
      <c r="J546" s="220"/>
    </row>
    <row r="547" spans="1:10" ht="11.85" customHeight="1" x14ac:dyDescent="0.25">
      <c r="A547" s="198" t="s">
        <v>147</v>
      </c>
      <c r="B547" s="189" t="s">
        <v>122</v>
      </c>
      <c r="C547" s="253" t="s">
        <v>99</v>
      </c>
      <c r="D547" s="262">
        <v>3577</v>
      </c>
      <c r="E547" s="234">
        <f>D535+D536+D537+D538+D544+D545+D546+D547</f>
        <v>26490</v>
      </c>
      <c r="G547" s="212">
        <v>21</v>
      </c>
      <c r="H547" s="206" t="s">
        <v>408</v>
      </c>
      <c r="I547" s="209">
        <v>1.32</v>
      </c>
      <c r="J547" s="207">
        <v>3587607.97</v>
      </c>
    </row>
    <row r="548" spans="1:10" ht="11.85" customHeight="1" x14ac:dyDescent="0.25">
      <c r="A548" s="264"/>
      <c r="B548" s="211" t="s">
        <v>360</v>
      </c>
      <c r="C548" s="197"/>
      <c r="D548" s="197"/>
      <c r="G548" s="212">
        <v>22</v>
      </c>
      <c r="H548" s="206" t="s">
        <v>410</v>
      </c>
      <c r="I548" s="209">
        <v>0.04</v>
      </c>
      <c r="J548" s="207">
        <v>95071.01</v>
      </c>
    </row>
    <row r="549" spans="1:10" ht="11.85" customHeight="1" x14ac:dyDescent="0.25">
      <c r="A549" s="264"/>
      <c r="B549" s="198" t="s">
        <v>439</v>
      </c>
      <c r="C549" s="197" t="s">
        <v>99</v>
      </c>
      <c r="D549" s="318">
        <v>3449</v>
      </c>
      <c r="G549" s="212">
        <v>23</v>
      </c>
      <c r="H549" s="206" t="s">
        <v>412</v>
      </c>
      <c r="I549" s="209">
        <v>7.0000000000000007E-2</v>
      </c>
      <c r="J549" s="207">
        <v>194468.55</v>
      </c>
    </row>
    <row r="550" spans="1:10" ht="11.85" customHeight="1" x14ac:dyDescent="0.25">
      <c r="A550" s="264"/>
      <c r="B550" s="198" t="s">
        <v>445</v>
      </c>
      <c r="C550" s="197" t="s">
        <v>99</v>
      </c>
      <c r="D550" s="291">
        <v>51</v>
      </c>
      <c r="G550" s="212">
        <v>24</v>
      </c>
      <c r="H550" s="206" t="s">
        <v>414</v>
      </c>
      <c r="I550" s="209">
        <v>0.09</v>
      </c>
      <c r="J550" s="207">
        <v>237328.14</v>
      </c>
    </row>
    <row r="551" spans="1:10" ht="22.35" customHeight="1" x14ac:dyDescent="0.25">
      <c r="A551" s="264"/>
      <c r="B551" s="198" t="s">
        <v>449</v>
      </c>
      <c r="C551" s="197" t="s">
        <v>99</v>
      </c>
      <c r="D551" s="291">
        <v>77</v>
      </c>
      <c r="G551" s="212">
        <v>25</v>
      </c>
      <c r="H551" s="206" t="s">
        <v>416</v>
      </c>
      <c r="I551" s="209">
        <v>8.73</v>
      </c>
      <c r="J551" s="207">
        <v>23645763.300000001</v>
      </c>
    </row>
    <row r="552" spans="1:10" ht="11.85" customHeight="1" x14ac:dyDescent="0.25">
      <c r="A552" s="198" t="s">
        <v>148</v>
      </c>
      <c r="B552" s="189" t="s">
        <v>158</v>
      </c>
      <c r="C552" s="253" t="s">
        <v>99</v>
      </c>
      <c r="D552" s="262">
        <v>7798</v>
      </c>
      <c r="G552" s="213" t="s">
        <v>420</v>
      </c>
      <c r="H552" s="215" t="s">
        <v>421</v>
      </c>
      <c r="I552" s="303">
        <v>150.65</v>
      </c>
      <c r="J552" s="216">
        <v>407882167.74000001</v>
      </c>
    </row>
    <row r="553" spans="1:10" ht="11.85" customHeight="1" x14ac:dyDescent="0.25">
      <c r="A553" s="198"/>
      <c r="B553" s="189" t="s">
        <v>728</v>
      </c>
      <c r="C553" s="253" t="s">
        <v>99</v>
      </c>
      <c r="D553" s="262">
        <v>7798</v>
      </c>
      <c r="E553" s="200">
        <f>J543</f>
        <v>7798149.3399999999</v>
      </c>
      <c r="G553" s="213"/>
      <c r="H553" s="221"/>
      <c r="I553" s="210"/>
      <c r="J553" s="210"/>
    </row>
    <row r="554" spans="1:10" ht="11.85" customHeight="1" x14ac:dyDescent="0.25">
      <c r="A554" s="264"/>
      <c r="B554" s="211" t="s">
        <v>360</v>
      </c>
      <c r="C554" s="197"/>
      <c r="D554" s="267"/>
      <c r="G554" s="213"/>
      <c r="H554" s="221" t="s">
        <v>424</v>
      </c>
      <c r="I554" s="209">
        <v>36.86</v>
      </c>
      <c r="J554" s="207">
        <v>99799867.969999999</v>
      </c>
    </row>
    <row r="555" spans="1:10" ht="11.85" customHeight="1" x14ac:dyDescent="0.25">
      <c r="A555" s="264"/>
      <c r="B555" s="198" t="s">
        <v>401</v>
      </c>
      <c r="C555" s="197" t="s">
        <v>99</v>
      </c>
      <c r="D555" s="199">
        <v>2799</v>
      </c>
    </row>
    <row r="556" spans="1:10" ht="11.85" customHeight="1" x14ac:dyDescent="0.25">
      <c r="A556" s="264"/>
      <c r="B556" s="198" t="s">
        <v>403</v>
      </c>
      <c r="C556" s="197" t="s">
        <v>99</v>
      </c>
      <c r="D556" s="214">
        <v>683</v>
      </c>
    </row>
    <row r="557" spans="1:10" ht="11.85" customHeight="1" x14ac:dyDescent="0.25">
      <c r="A557" s="264"/>
      <c r="B557" s="198" t="s">
        <v>406</v>
      </c>
      <c r="C557" s="197" t="s">
        <v>99</v>
      </c>
      <c r="D557" s="214">
        <v>301</v>
      </c>
    </row>
    <row r="558" spans="1:10" ht="11.85" customHeight="1" x14ac:dyDescent="0.25">
      <c r="A558" s="264"/>
      <c r="B558" s="198" t="s">
        <v>409</v>
      </c>
      <c r="C558" s="197" t="s">
        <v>99</v>
      </c>
      <c r="D558" s="214">
        <v>533</v>
      </c>
    </row>
    <row r="559" spans="1:10" ht="11.85" customHeight="1" x14ac:dyDescent="0.25">
      <c r="A559" s="264"/>
      <c r="B559" s="198" t="s">
        <v>411</v>
      </c>
      <c r="C559" s="197" t="s">
        <v>99</v>
      </c>
      <c r="D559" s="214">
        <v>213</v>
      </c>
    </row>
    <row r="560" spans="1:10" ht="11.85" customHeight="1" x14ac:dyDescent="0.25">
      <c r="A560" s="264"/>
      <c r="B560" s="198" t="s">
        <v>413</v>
      </c>
      <c r="C560" s="197" t="s">
        <v>99</v>
      </c>
      <c r="D560" s="214">
        <v>510</v>
      </c>
    </row>
    <row r="561" spans="1:5" ht="11.85" customHeight="1" x14ac:dyDescent="0.25">
      <c r="A561" s="264"/>
      <c r="B561" s="198" t="s">
        <v>415</v>
      </c>
      <c r="C561" s="197" t="s">
        <v>99</v>
      </c>
      <c r="D561" s="214">
        <v>16</v>
      </c>
    </row>
    <row r="562" spans="1:5" ht="11.85" customHeight="1" x14ac:dyDescent="0.25">
      <c r="A562" s="264"/>
      <c r="B562" s="198" t="s">
        <v>417</v>
      </c>
      <c r="C562" s="197" t="s">
        <v>99</v>
      </c>
      <c r="D562" s="197"/>
    </row>
    <row r="563" spans="1:5" ht="11.85" customHeight="1" x14ac:dyDescent="0.25">
      <c r="A563" s="264"/>
      <c r="B563" s="198" t="s">
        <v>419</v>
      </c>
      <c r="C563" s="197" t="s">
        <v>99</v>
      </c>
      <c r="D563" s="197"/>
    </row>
    <row r="564" spans="1:5" ht="11.85" customHeight="1" x14ac:dyDescent="0.25">
      <c r="A564" s="264"/>
      <c r="B564" s="198" t="s">
        <v>422</v>
      </c>
      <c r="C564" s="197" t="s">
        <v>99</v>
      </c>
      <c r="D564" s="214">
        <v>472</v>
      </c>
    </row>
    <row r="565" spans="1:5" ht="11.85" customHeight="1" x14ac:dyDescent="0.25">
      <c r="A565" s="264"/>
      <c r="B565" s="198" t="s">
        <v>423</v>
      </c>
      <c r="C565" s="197" t="s">
        <v>99</v>
      </c>
      <c r="D565" s="199">
        <v>1057</v>
      </c>
    </row>
    <row r="566" spans="1:5" ht="22.35" customHeight="1" x14ac:dyDescent="0.25">
      <c r="A566" s="264"/>
      <c r="B566" s="198" t="s">
        <v>425</v>
      </c>
      <c r="C566" s="197" t="s">
        <v>99</v>
      </c>
      <c r="D566" s="214">
        <v>362</v>
      </c>
    </row>
    <row r="567" spans="1:5" ht="11.85" customHeight="1" x14ac:dyDescent="0.25">
      <c r="A567" s="264"/>
      <c r="B567" s="198" t="s">
        <v>428</v>
      </c>
      <c r="C567" s="197" t="s">
        <v>99</v>
      </c>
      <c r="D567" s="214">
        <v>141</v>
      </c>
    </row>
    <row r="568" spans="1:5" ht="11.85" customHeight="1" x14ac:dyDescent="0.25">
      <c r="A568" s="264"/>
      <c r="B568" s="198" t="s">
        <v>429</v>
      </c>
      <c r="C568" s="197" t="s">
        <v>99</v>
      </c>
      <c r="D568" s="214">
        <v>587</v>
      </c>
    </row>
    <row r="569" spans="1:5" ht="11.85" customHeight="1" x14ac:dyDescent="0.25">
      <c r="A569" s="264"/>
      <c r="B569" s="198" t="s">
        <v>431</v>
      </c>
      <c r="C569" s="197" t="s">
        <v>99</v>
      </c>
      <c r="D569" s="214">
        <v>39</v>
      </c>
    </row>
    <row r="570" spans="1:5" ht="11.85" customHeight="1" x14ac:dyDescent="0.25">
      <c r="A570" s="264"/>
      <c r="B570" s="198" t="s">
        <v>432</v>
      </c>
      <c r="C570" s="197" t="s">
        <v>99</v>
      </c>
      <c r="D570" s="214">
        <v>85</v>
      </c>
    </row>
    <row r="571" spans="1:5" s="244" customFormat="1" ht="11.85" customHeight="1" x14ac:dyDescent="0.2">
      <c r="A571" s="189" t="s">
        <v>23</v>
      </c>
      <c r="B571" s="189" t="s">
        <v>114</v>
      </c>
      <c r="C571" s="253" t="s">
        <v>99</v>
      </c>
      <c r="D571" s="262">
        <v>27760</v>
      </c>
    </row>
    <row r="572" spans="1:5" s="244" customFormat="1" ht="11.85" customHeight="1" x14ac:dyDescent="0.2">
      <c r="A572" s="189" t="s">
        <v>68</v>
      </c>
      <c r="B572" s="189" t="s">
        <v>115</v>
      </c>
      <c r="C572" s="253" t="s">
        <v>99</v>
      </c>
      <c r="D572" s="262">
        <v>4114</v>
      </c>
      <c r="E572" s="243">
        <f>J547+J548+J549+J550</f>
        <v>4114475.67</v>
      </c>
    </row>
    <row r="573" spans="1:5" ht="11.85" customHeight="1" x14ac:dyDescent="0.25">
      <c r="A573" s="198" t="s">
        <v>69</v>
      </c>
      <c r="B573" s="198" t="s">
        <v>116</v>
      </c>
      <c r="C573" s="249" t="s">
        <v>99</v>
      </c>
      <c r="D573" s="266">
        <v>2577</v>
      </c>
    </row>
    <row r="574" spans="1:5" ht="11.85" customHeight="1" x14ac:dyDescent="0.25">
      <c r="A574" s="198" t="s">
        <v>71</v>
      </c>
      <c r="B574" s="189" t="s">
        <v>62</v>
      </c>
      <c r="C574" s="253" t="s">
        <v>99</v>
      </c>
      <c r="D574" s="268">
        <v>248</v>
      </c>
    </row>
    <row r="575" spans="1:5" ht="11.85" customHeight="1" x14ac:dyDescent="0.25">
      <c r="A575" s="264"/>
      <c r="B575" s="211" t="s">
        <v>360</v>
      </c>
      <c r="C575" s="197"/>
      <c r="D575" s="197"/>
    </row>
    <row r="576" spans="1:5" ht="11.85" customHeight="1" x14ac:dyDescent="0.25">
      <c r="A576" s="264"/>
      <c r="B576" s="198" t="s">
        <v>488</v>
      </c>
      <c r="C576" s="197" t="s">
        <v>99</v>
      </c>
      <c r="D576" s="214">
        <v>174</v>
      </c>
    </row>
    <row r="577" spans="1:4" ht="11.85" customHeight="1" x14ac:dyDescent="0.25">
      <c r="A577" s="264"/>
      <c r="B577" s="198" t="s">
        <v>490</v>
      </c>
      <c r="C577" s="197" t="s">
        <v>99</v>
      </c>
      <c r="D577" s="214">
        <v>49</v>
      </c>
    </row>
    <row r="578" spans="1:4" ht="11.85" customHeight="1" x14ac:dyDescent="0.25">
      <c r="A578" s="264"/>
      <c r="B578" s="198" t="s">
        <v>491</v>
      </c>
      <c r="C578" s="197" t="s">
        <v>99</v>
      </c>
      <c r="D578" s="214">
        <v>25</v>
      </c>
    </row>
    <row r="579" spans="1:4" ht="11.85" customHeight="1" x14ac:dyDescent="0.25">
      <c r="A579" s="198" t="s">
        <v>72</v>
      </c>
      <c r="B579" s="198" t="s">
        <v>22</v>
      </c>
      <c r="C579" s="249" t="s">
        <v>99</v>
      </c>
      <c r="D579" s="276">
        <v>433</v>
      </c>
    </row>
    <row r="580" spans="1:4" ht="11.85" customHeight="1" x14ac:dyDescent="0.25">
      <c r="A580" s="198" t="s">
        <v>73</v>
      </c>
      <c r="B580" s="198" t="s">
        <v>117</v>
      </c>
      <c r="C580" s="249" t="s">
        <v>99</v>
      </c>
      <c r="D580" s="276">
        <v>856</v>
      </c>
    </row>
    <row r="581" spans="1:4" ht="11.85" customHeight="1" x14ac:dyDescent="0.25">
      <c r="A581" s="198" t="s">
        <v>74</v>
      </c>
      <c r="B581" s="198" t="s">
        <v>25</v>
      </c>
      <c r="C581" s="249" t="s">
        <v>99</v>
      </c>
      <c r="D581" s="276">
        <v>43</v>
      </c>
    </row>
    <row r="582" spans="1:4" ht="11.85" customHeight="1" x14ac:dyDescent="0.25">
      <c r="A582" s="198" t="s">
        <v>75</v>
      </c>
      <c r="B582" s="198" t="s">
        <v>26</v>
      </c>
      <c r="C582" s="249" t="s">
        <v>99</v>
      </c>
      <c r="D582" s="276">
        <v>35</v>
      </c>
    </row>
    <row r="583" spans="1:4" ht="11.85" customHeight="1" x14ac:dyDescent="0.25">
      <c r="A583" s="198" t="s">
        <v>76</v>
      </c>
      <c r="B583" s="189" t="s">
        <v>118</v>
      </c>
      <c r="C583" s="253" t="s">
        <v>99</v>
      </c>
      <c r="D583" s="268">
        <v>29</v>
      </c>
    </row>
    <row r="584" spans="1:4" ht="11.85" customHeight="1" x14ac:dyDescent="0.25">
      <c r="A584" s="264"/>
      <c r="B584" s="211" t="s">
        <v>360</v>
      </c>
      <c r="C584" s="197"/>
      <c r="D584" s="197"/>
    </row>
    <row r="585" spans="1:4" ht="11.85" customHeight="1" x14ac:dyDescent="0.25">
      <c r="A585" s="264"/>
      <c r="B585" s="198" t="s">
        <v>506</v>
      </c>
      <c r="C585" s="197" t="s">
        <v>99</v>
      </c>
      <c r="D585" s="214">
        <v>19</v>
      </c>
    </row>
    <row r="586" spans="1:4" ht="11.85" customHeight="1" x14ac:dyDescent="0.25">
      <c r="A586" s="264"/>
      <c r="B586" s="198" t="s">
        <v>507</v>
      </c>
      <c r="C586" s="197" t="s">
        <v>99</v>
      </c>
      <c r="D586" s="197"/>
    </row>
    <row r="587" spans="1:4" ht="11.85" customHeight="1" x14ac:dyDescent="0.25">
      <c r="A587" s="264"/>
      <c r="B587" s="198" t="s">
        <v>509</v>
      </c>
      <c r="C587" s="197" t="s">
        <v>99</v>
      </c>
      <c r="D587" s="214">
        <v>4</v>
      </c>
    </row>
    <row r="588" spans="1:4" ht="11.85" customHeight="1" x14ac:dyDescent="0.25">
      <c r="A588" s="264"/>
      <c r="B588" s="198" t="s">
        <v>511</v>
      </c>
      <c r="C588" s="197" t="s">
        <v>99</v>
      </c>
      <c r="D588" s="214">
        <v>1</v>
      </c>
    </row>
    <row r="589" spans="1:4" ht="11.85" customHeight="1" x14ac:dyDescent="0.25">
      <c r="A589" s="264"/>
      <c r="B589" s="198" t="s">
        <v>512</v>
      </c>
      <c r="C589" s="197" t="s">
        <v>99</v>
      </c>
      <c r="D589" s="214">
        <v>4</v>
      </c>
    </row>
    <row r="590" spans="1:4" ht="11.85" customHeight="1" x14ac:dyDescent="0.25">
      <c r="A590" s="198" t="s">
        <v>77</v>
      </c>
      <c r="B590" s="198" t="s">
        <v>48</v>
      </c>
      <c r="C590" s="249" t="s">
        <v>99</v>
      </c>
      <c r="D590" s="276">
        <v>3</v>
      </c>
    </row>
    <row r="591" spans="1:4" ht="11.85" customHeight="1" x14ac:dyDescent="0.25">
      <c r="A591" s="198" t="s">
        <v>78</v>
      </c>
      <c r="B591" s="198" t="s">
        <v>28</v>
      </c>
      <c r="C591" s="249" t="s">
        <v>99</v>
      </c>
      <c r="D591" s="276">
        <v>34</v>
      </c>
    </row>
    <row r="592" spans="1:4" ht="22.35" customHeight="1" x14ac:dyDescent="0.25">
      <c r="A592" s="198" t="s">
        <v>79</v>
      </c>
      <c r="B592" s="198" t="s">
        <v>119</v>
      </c>
      <c r="C592" s="249" t="s">
        <v>99</v>
      </c>
      <c r="D592" s="276">
        <v>20</v>
      </c>
    </row>
    <row r="593" spans="1:4" ht="11.85" customHeight="1" x14ac:dyDescent="0.25">
      <c r="A593" s="198" t="s">
        <v>80</v>
      </c>
      <c r="B593" s="198" t="s">
        <v>29</v>
      </c>
      <c r="C593" s="249" t="s">
        <v>99</v>
      </c>
      <c r="D593" s="276">
        <v>3</v>
      </c>
    </row>
    <row r="594" spans="1:4" ht="11.85" customHeight="1" x14ac:dyDescent="0.25">
      <c r="A594" s="198" t="s">
        <v>81</v>
      </c>
      <c r="B594" s="198" t="s">
        <v>30</v>
      </c>
      <c r="C594" s="249" t="s">
        <v>99</v>
      </c>
      <c r="D594" s="267"/>
    </row>
    <row r="595" spans="1:4" ht="11.85" customHeight="1" x14ac:dyDescent="0.25">
      <c r="A595" s="198" t="s">
        <v>82</v>
      </c>
      <c r="B595" s="198" t="s">
        <v>83</v>
      </c>
      <c r="C595" s="249" t="s">
        <v>99</v>
      </c>
      <c r="D595" s="276">
        <v>46</v>
      </c>
    </row>
    <row r="596" spans="1:4" ht="11.85" customHeight="1" x14ac:dyDescent="0.25">
      <c r="A596" s="198" t="s">
        <v>84</v>
      </c>
      <c r="B596" s="189" t="s">
        <v>31</v>
      </c>
      <c r="C596" s="253" t="s">
        <v>99</v>
      </c>
      <c r="D596" s="268">
        <v>3</v>
      </c>
    </row>
    <row r="597" spans="1:4" ht="11.85" customHeight="1" x14ac:dyDescent="0.25">
      <c r="A597" s="264"/>
      <c r="B597" s="211" t="s">
        <v>360</v>
      </c>
      <c r="C597" s="197"/>
      <c r="D597" s="197"/>
    </row>
    <row r="598" spans="1:4" ht="11.85" customHeight="1" x14ac:dyDescent="0.25">
      <c r="A598" s="264"/>
      <c r="B598" s="198" t="s">
        <v>528</v>
      </c>
      <c r="C598" s="197" t="s">
        <v>99</v>
      </c>
      <c r="D598" s="197"/>
    </row>
    <row r="599" spans="1:4" ht="11.85" customHeight="1" x14ac:dyDescent="0.25">
      <c r="A599" s="264"/>
      <c r="B599" s="198" t="s">
        <v>530</v>
      </c>
      <c r="C599" s="197" t="s">
        <v>99</v>
      </c>
      <c r="D599" s="214">
        <v>1</v>
      </c>
    </row>
    <row r="600" spans="1:4" ht="11.85" customHeight="1" x14ac:dyDescent="0.25">
      <c r="A600" s="264"/>
      <c r="B600" s="198" t="s">
        <v>532</v>
      </c>
      <c r="C600" s="197" t="s">
        <v>99</v>
      </c>
      <c r="D600" s="214">
        <v>2</v>
      </c>
    </row>
    <row r="601" spans="1:4" ht="11.85" customHeight="1" x14ac:dyDescent="0.25">
      <c r="A601" s="198" t="s">
        <v>85</v>
      </c>
      <c r="B601" s="198" t="s">
        <v>120</v>
      </c>
      <c r="C601" s="249" t="s">
        <v>99</v>
      </c>
      <c r="D601" s="276">
        <v>237</v>
      </c>
    </row>
    <row r="602" spans="1:4" ht="11.85" customHeight="1" x14ac:dyDescent="0.25">
      <c r="A602" s="198" t="s">
        <v>86</v>
      </c>
      <c r="B602" s="198" t="s">
        <v>33</v>
      </c>
      <c r="C602" s="249" t="s">
        <v>99</v>
      </c>
      <c r="D602" s="276">
        <v>16</v>
      </c>
    </row>
    <row r="603" spans="1:4" ht="11.85" customHeight="1" x14ac:dyDescent="0.25">
      <c r="A603" s="198" t="s">
        <v>87</v>
      </c>
      <c r="B603" s="198" t="s">
        <v>34</v>
      </c>
      <c r="C603" s="249" t="s">
        <v>99</v>
      </c>
      <c r="D603" s="267"/>
    </row>
    <row r="604" spans="1:4" ht="11.85" customHeight="1" x14ac:dyDescent="0.25">
      <c r="A604" s="198" t="s">
        <v>88</v>
      </c>
      <c r="B604" s="198" t="s">
        <v>121</v>
      </c>
      <c r="C604" s="249" t="s">
        <v>99</v>
      </c>
      <c r="D604" s="276">
        <v>194</v>
      </c>
    </row>
    <row r="605" spans="1:4" ht="11.85" customHeight="1" x14ac:dyDescent="0.25">
      <c r="A605" s="198" t="s">
        <v>89</v>
      </c>
      <c r="B605" s="189" t="s">
        <v>122</v>
      </c>
      <c r="C605" s="253" t="s">
        <v>99</v>
      </c>
      <c r="D605" s="268">
        <v>86</v>
      </c>
    </row>
    <row r="606" spans="1:4" ht="11.85" customHeight="1" x14ac:dyDescent="0.25">
      <c r="A606" s="264"/>
      <c r="B606" s="211" t="s">
        <v>360</v>
      </c>
      <c r="C606" s="197"/>
      <c r="D606" s="197"/>
    </row>
    <row r="607" spans="1:4" ht="11.85" customHeight="1" x14ac:dyDescent="0.25">
      <c r="A607" s="264"/>
      <c r="B607" s="198" t="s">
        <v>546</v>
      </c>
      <c r="C607" s="197" t="s">
        <v>99</v>
      </c>
      <c r="D607" s="197"/>
    </row>
    <row r="608" spans="1:4" ht="11.85" customHeight="1" x14ac:dyDescent="0.25">
      <c r="A608" s="264"/>
      <c r="B608" s="198" t="s">
        <v>548</v>
      </c>
      <c r="C608" s="197" t="s">
        <v>99</v>
      </c>
      <c r="D608" s="214">
        <v>61</v>
      </c>
    </row>
    <row r="609" spans="1:5" ht="11.85" customHeight="1" x14ac:dyDescent="0.25">
      <c r="A609" s="264"/>
      <c r="B609" s="198" t="s">
        <v>550</v>
      </c>
      <c r="C609" s="197" t="s">
        <v>99</v>
      </c>
      <c r="D609" s="197"/>
    </row>
    <row r="610" spans="1:5" ht="11.85" customHeight="1" x14ac:dyDescent="0.25">
      <c r="A610" s="264"/>
      <c r="B610" s="198" t="s">
        <v>552</v>
      </c>
      <c r="C610" s="197" t="s">
        <v>99</v>
      </c>
      <c r="D610" s="214">
        <v>8</v>
      </c>
    </row>
    <row r="611" spans="1:5" ht="11.85" customHeight="1" x14ac:dyDescent="0.25">
      <c r="A611" s="264"/>
      <c r="B611" s="198" t="s">
        <v>554</v>
      </c>
      <c r="C611" s="197" t="s">
        <v>99</v>
      </c>
      <c r="D611" s="197"/>
    </row>
    <row r="612" spans="1:5" ht="11.85" customHeight="1" x14ac:dyDescent="0.25">
      <c r="A612" s="264"/>
      <c r="B612" s="198" t="s">
        <v>556</v>
      </c>
      <c r="C612" s="197" t="s">
        <v>99</v>
      </c>
      <c r="D612" s="214">
        <v>2</v>
      </c>
    </row>
    <row r="613" spans="1:5" ht="11.85" customHeight="1" x14ac:dyDescent="0.25">
      <c r="A613" s="264"/>
      <c r="B613" s="198" t="s">
        <v>558</v>
      </c>
      <c r="C613" s="197" t="s">
        <v>99</v>
      </c>
      <c r="D613" s="197"/>
    </row>
    <row r="614" spans="1:5" ht="11.85" customHeight="1" x14ac:dyDescent="0.25">
      <c r="A614" s="264"/>
      <c r="B614" s="198" t="s">
        <v>560</v>
      </c>
      <c r="C614" s="197" t="s">
        <v>99</v>
      </c>
      <c r="D614" s="197"/>
    </row>
    <row r="615" spans="1:5" ht="11.85" customHeight="1" x14ac:dyDescent="0.25">
      <c r="A615" s="264"/>
      <c r="B615" s="198" t="s">
        <v>562</v>
      </c>
      <c r="C615" s="197" t="s">
        <v>99</v>
      </c>
      <c r="D615" s="214">
        <v>6</v>
      </c>
    </row>
    <row r="616" spans="1:5" ht="11.85" customHeight="1" x14ac:dyDescent="0.25">
      <c r="A616" s="264"/>
      <c r="B616" s="198" t="s">
        <v>564</v>
      </c>
      <c r="C616" s="197" t="s">
        <v>99</v>
      </c>
      <c r="D616" s="214">
        <v>9</v>
      </c>
    </row>
    <row r="617" spans="1:5" ht="11.85" customHeight="1" x14ac:dyDescent="0.25">
      <c r="A617" s="264"/>
      <c r="B617" s="198" t="s">
        <v>566</v>
      </c>
      <c r="C617" s="197" t="s">
        <v>99</v>
      </c>
      <c r="D617" s="197"/>
    </row>
    <row r="618" spans="1:5" ht="11.85" customHeight="1" x14ac:dyDescent="0.25">
      <c r="A618" s="264"/>
      <c r="B618" s="198" t="s">
        <v>568</v>
      </c>
      <c r="C618" s="197" t="s">
        <v>99</v>
      </c>
      <c r="D618" s="214">
        <v>1</v>
      </c>
    </row>
    <row r="619" spans="1:5" ht="11.85" customHeight="1" x14ac:dyDescent="0.25">
      <c r="A619" s="198" t="s">
        <v>90</v>
      </c>
      <c r="B619" s="198" t="s">
        <v>36</v>
      </c>
      <c r="C619" s="249" t="s">
        <v>99</v>
      </c>
      <c r="D619" s="276">
        <v>55</v>
      </c>
    </row>
    <row r="620" spans="1:5" ht="11.85" customHeight="1" x14ac:dyDescent="0.25">
      <c r="A620" s="198" t="s">
        <v>91</v>
      </c>
      <c r="B620" s="189" t="s">
        <v>123</v>
      </c>
      <c r="C620" s="253" t="s">
        <v>99</v>
      </c>
      <c r="D620" s="268">
        <v>53</v>
      </c>
    </row>
    <row r="621" spans="1:5" ht="11.85" customHeight="1" x14ac:dyDescent="0.25">
      <c r="A621" s="264"/>
      <c r="B621" s="211" t="s">
        <v>360</v>
      </c>
      <c r="C621" s="197"/>
      <c r="D621" s="197"/>
    </row>
    <row r="622" spans="1:5" ht="11.85" customHeight="1" x14ac:dyDescent="0.25">
      <c r="A622" s="264"/>
      <c r="B622" s="198" t="s">
        <v>574</v>
      </c>
      <c r="C622" s="197" t="s">
        <v>99</v>
      </c>
      <c r="D622" s="214">
        <v>13</v>
      </c>
    </row>
    <row r="623" spans="1:5" ht="11.85" customHeight="1" x14ac:dyDescent="0.25">
      <c r="A623" s="264"/>
      <c r="B623" s="198" t="s">
        <v>576</v>
      </c>
      <c r="C623" s="197" t="s">
        <v>99</v>
      </c>
      <c r="D623" s="214">
        <v>39</v>
      </c>
    </row>
    <row r="624" spans="1:5" ht="11.85" customHeight="1" x14ac:dyDescent="0.25">
      <c r="A624" s="263" t="s">
        <v>215</v>
      </c>
      <c r="B624" s="189" t="s">
        <v>416</v>
      </c>
      <c r="C624" s="188" t="s">
        <v>99</v>
      </c>
      <c r="D624" s="262">
        <v>23646</v>
      </c>
      <c r="E624" s="191">
        <f>I1191</f>
        <v>23646</v>
      </c>
    </row>
    <row r="625" spans="1:4" ht="11.85" customHeight="1" x14ac:dyDescent="0.25">
      <c r="A625" s="264" t="s">
        <v>152</v>
      </c>
      <c r="B625" s="198" t="s">
        <v>134</v>
      </c>
      <c r="C625" s="197" t="s">
        <v>99</v>
      </c>
      <c r="D625" s="276">
        <v>4</v>
      </c>
    </row>
    <row r="626" spans="1:4" ht="11.85" customHeight="1" x14ac:dyDescent="0.25">
      <c r="A626" s="264" t="s">
        <v>153</v>
      </c>
      <c r="B626" s="189" t="s">
        <v>141</v>
      </c>
      <c r="C626" s="188" t="s">
        <v>99</v>
      </c>
      <c r="D626" s="186"/>
    </row>
    <row r="627" spans="1:4" ht="11.85" customHeight="1" x14ac:dyDescent="0.25">
      <c r="A627" s="264"/>
      <c r="B627" s="211" t="s">
        <v>360</v>
      </c>
      <c r="C627" s="197"/>
      <c r="D627" s="197"/>
    </row>
    <row r="628" spans="1:4" ht="11.85" customHeight="1" x14ac:dyDescent="0.25">
      <c r="A628" s="264"/>
      <c r="B628" s="198" t="s">
        <v>488</v>
      </c>
      <c r="C628" s="197" t="s">
        <v>99</v>
      </c>
      <c r="D628" s="197"/>
    </row>
    <row r="629" spans="1:4" ht="11.85" customHeight="1" x14ac:dyDescent="0.25">
      <c r="A629" s="264"/>
      <c r="B629" s="198" t="s">
        <v>490</v>
      </c>
      <c r="C629" s="197" t="s">
        <v>99</v>
      </c>
      <c r="D629" s="197"/>
    </row>
    <row r="630" spans="1:4" ht="11.85" customHeight="1" x14ac:dyDescent="0.25">
      <c r="A630" s="264"/>
      <c r="B630" s="198" t="s">
        <v>491</v>
      </c>
      <c r="C630" s="197" t="s">
        <v>99</v>
      </c>
      <c r="D630" s="197"/>
    </row>
    <row r="631" spans="1:4" ht="11.85" customHeight="1" x14ac:dyDescent="0.25">
      <c r="A631" s="263" t="s">
        <v>154</v>
      </c>
      <c r="B631" s="189" t="s">
        <v>117</v>
      </c>
      <c r="C631" s="188" t="s">
        <v>99</v>
      </c>
      <c r="D631" s="262">
        <v>23641</v>
      </c>
    </row>
    <row r="632" spans="1:4" ht="11.85" customHeight="1" x14ac:dyDescent="0.25">
      <c r="A632" s="264" t="s">
        <v>700</v>
      </c>
      <c r="B632" s="198" t="s">
        <v>137</v>
      </c>
      <c r="C632" s="197" t="s">
        <v>99</v>
      </c>
      <c r="D632" s="267"/>
    </row>
    <row r="633" spans="1:4" ht="11.85" customHeight="1" x14ac:dyDescent="0.25">
      <c r="A633" s="264" t="s">
        <v>701</v>
      </c>
      <c r="B633" s="198" t="s">
        <v>25</v>
      </c>
      <c r="C633" s="197" t="s">
        <v>99</v>
      </c>
      <c r="D633" s="267"/>
    </row>
    <row r="634" spans="1:4" ht="11.85" customHeight="1" x14ac:dyDescent="0.25">
      <c r="A634" s="264" t="s">
        <v>702</v>
      </c>
      <c r="B634" s="198" t="s">
        <v>582</v>
      </c>
      <c r="C634" s="197" t="s">
        <v>99</v>
      </c>
      <c r="D634" s="267"/>
    </row>
    <row r="635" spans="1:4" ht="22.35" customHeight="1" x14ac:dyDescent="0.25">
      <c r="A635" s="264" t="s">
        <v>703</v>
      </c>
      <c r="B635" s="198" t="s">
        <v>584</v>
      </c>
      <c r="C635" s="197" t="s">
        <v>99</v>
      </c>
      <c r="D635" s="267"/>
    </row>
    <row r="636" spans="1:4" ht="11.85" customHeight="1" x14ac:dyDescent="0.25">
      <c r="A636" s="264" t="s">
        <v>704</v>
      </c>
      <c r="B636" s="198" t="s">
        <v>138</v>
      </c>
      <c r="C636" s="197" t="s">
        <v>99</v>
      </c>
      <c r="D636" s="267"/>
    </row>
    <row r="637" spans="1:4" ht="11.85" customHeight="1" x14ac:dyDescent="0.25">
      <c r="A637" s="263" t="s">
        <v>705</v>
      </c>
      <c r="B637" s="189" t="s">
        <v>587</v>
      </c>
      <c r="C637" s="188" t="s">
        <v>99</v>
      </c>
      <c r="D637" s="262">
        <v>23641</v>
      </c>
    </row>
    <row r="638" spans="1:4" ht="11.85" customHeight="1" x14ac:dyDescent="0.25">
      <c r="A638" s="264" t="s">
        <v>706</v>
      </c>
      <c r="B638" s="189" t="s">
        <v>589</v>
      </c>
      <c r="C638" s="188" t="s">
        <v>99</v>
      </c>
      <c r="D638" s="186"/>
    </row>
    <row r="639" spans="1:4" ht="11.85" customHeight="1" x14ac:dyDescent="0.25">
      <c r="A639" s="264"/>
      <c r="B639" s="211" t="s">
        <v>360</v>
      </c>
      <c r="C639" s="197"/>
      <c r="D639" s="197"/>
    </row>
    <row r="640" spans="1:4" ht="11.85" customHeight="1" x14ac:dyDescent="0.25">
      <c r="A640" s="264"/>
      <c r="B640" s="198" t="s">
        <v>506</v>
      </c>
      <c r="C640" s="197" t="s">
        <v>99</v>
      </c>
      <c r="D640" s="197"/>
    </row>
    <row r="641" spans="1:4" ht="11.85" customHeight="1" x14ac:dyDescent="0.25">
      <c r="A641" s="264"/>
      <c r="B641" s="198" t="s">
        <v>507</v>
      </c>
      <c r="C641" s="197" t="s">
        <v>99</v>
      </c>
      <c r="D641" s="197"/>
    </row>
    <row r="642" spans="1:4" ht="11.85" customHeight="1" x14ac:dyDescent="0.25">
      <c r="A642" s="264"/>
      <c r="B642" s="198" t="s">
        <v>509</v>
      </c>
      <c r="C642" s="197" t="s">
        <v>99</v>
      </c>
      <c r="D642" s="197"/>
    </row>
    <row r="643" spans="1:4" ht="11.85" customHeight="1" x14ac:dyDescent="0.25">
      <c r="A643" s="264"/>
      <c r="B643" s="198" t="s">
        <v>511</v>
      </c>
      <c r="C643" s="197" t="s">
        <v>99</v>
      </c>
      <c r="D643" s="197"/>
    </row>
    <row r="644" spans="1:4" ht="11.85" customHeight="1" x14ac:dyDescent="0.25">
      <c r="A644" s="264"/>
      <c r="B644" s="198" t="s">
        <v>512</v>
      </c>
      <c r="C644" s="197" t="s">
        <v>99</v>
      </c>
      <c r="D644" s="197"/>
    </row>
    <row r="645" spans="1:4" ht="11.85" customHeight="1" x14ac:dyDescent="0.25">
      <c r="A645" s="264" t="s">
        <v>707</v>
      </c>
      <c r="B645" s="189" t="s">
        <v>591</v>
      </c>
      <c r="C645" s="188" t="s">
        <v>99</v>
      </c>
      <c r="D645" s="186"/>
    </row>
    <row r="646" spans="1:4" ht="11.85" customHeight="1" x14ac:dyDescent="0.25">
      <c r="A646" s="264"/>
      <c r="B646" s="211" t="s">
        <v>360</v>
      </c>
      <c r="C646" s="197"/>
      <c r="D646" s="197"/>
    </row>
    <row r="647" spans="1:4" ht="11.85" customHeight="1" x14ac:dyDescent="0.25">
      <c r="A647" s="264"/>
      <c r="B647" s="198" t="s">
        <v>528</v>
      </c>
      <c r="C647" s="197" t="s">
        <v>99</v>
      </c>
      <c r="D647" s="197"/>
    </row>
    <row r="648" spans="1:4" ht="11.85" customHeight="1" x14ac:dyDescent="0.25">
      <c r="A648" s="264"/>
      <c r="B648" s="198" t="s">
        <v>530</v>
      </c>
      <c r="C648" s="197" t="s">
        <v>99</v>
      </c>
      <c r="D648" s="197"/>
    </row>
    <row r="649" spans="1:4" ht="11.85" customHeight="1" x14ac:dyDescent="0.25">
      <c r="A649" s="264"/>
      <c r="B649" s="198" t="s">
        <v>532</v>
      </c>
      <c r="C649" s="197" t="s">
        <v>99</v>
      </c>
      <c r="D649" s="197"/>
    </row>
    <row r="650" spans="1:4" ht="11.85" customHeight="1" x14ac:dyDescent="0.25">
      <c r="A650" s="264"/>
      <c r="B650" s="198" t="s">
        <v>592</v>
      </c>
      <c r="C650" s="197" t="s">
        <v>99</v>
      </c>
      <c r="D650" s="197"/>
    </row>
    <row r="651" spans="1:4" ht="11.85" customHeight="1" x14ac:dyDescent="0.25">
      <c r="A651" s="264" t="s">
        <v>708</v>
      </c>
      <c r="B651" s="198" t="s">
        <v>594</v>
      </c>
      <c r="C651" s="197" t="s">
        <v>99</v>
      </c>
      <c r="D651" s="267"/>
    </row>
    <row r="652" spans="1:4" ht="11.85" customHeight="1" x14ac:dyDescent="0.25">
      <c r="A652" s="264" t="s">
        <v>709</v>
      </c>
      <c r="B652" s="198" t="s">
        <v>596</v>
      </c>
      <c r="C652" s="197" t="s">
        <v>99</v>
      </c>
      <c r="D652" s="267"/>
    </row>
    <row r="653" spans="1:4" ht="11.85" customHeight="1" x14ac:dyDescent="0.25">
      <c r="A653" s="264" t="s">
        <v>710</v>
      </c>
      <c r="B653" s="198" t="s">
        <v>598</v>
      </c>
      <c r="C653" s="197" t="s">
        <v>99</v>
      </c>
      <c r="D653" s="266">
        <v>22575</v>
      </c>
    </row>
    <row r="654" spans="1:4" ht="11.85" customHeight="1" x14ac:dyDescent="0.25">
      <c r="A654" s="264" t="s">
        <v>711</v>
      </c>
      <c r="B654" s="198" t="s">
        <v>600</v>
      </c>
      <c r="C654" s="197" t="s">
        <v>99</v>
      </c>
      <c r="D654" s="267"/>
    </row>
    <row r="655" spans="1:4" ht="11.85" customHeight="1" x14ac:dyDescent="0.25">
      <c r="A655" s="264" t="s">
        <v>712</v>
      </c>
      <c r="B655" s="198" t="s">
        <v>688</v>
      </c>
      <c r="C655" s="197" t="s">
        <v>99</v>
      </c>
      <c r="D655" s="266">
        <v>1067</v>
      </c>
    </row>
    <row r="656" spans="1:4" ht="11.85" customHeight="1" x14ac:dyDescent="0.25">
      <c r="A656" s="264" t="s">
        <v>713</v>
      </c>
      <c r="B656" s="198" t="s">
        <v>736</v>
      </c>
      <c r="C656" s="197" t="s">
        <v>99</v>
      </c>
      <c r="D656" s="267"/>
    </row>
    <row r="657" spans="1:10" ht="11.85" customHeight="1" x14ac:dyDescent="0.25">
      <c r="A657" s="264" t="s">
        <v>715</v>
      </c>
      <c r="B657" s="198" t="s">
        <v>737</v>
      </c>
      <c r="C657" s="197" t="s">
        <v>99</v>
      </c>
      <c r="D657" s="266">
        <v>1067</v>
      </c>
    </row>
    <row r="658" spans="1:10" s="244" customFormat="1" ht="11.85" customHeight="1" x14ac:dyDescent="0.2">
      <c r="A658" s="315">
        <v>8</v>
      </c>
      <c r="B658" s="189" t="s">
        <v>38</v>
      </c>
      <c r="C658" s="253" t="s">
        <v>99</v>
      </c>
      <c r="D658" s="186"/>
    </row>
    <row r="659" spans="1:10" s="244" customFormat="1" ht="11.85" customHeight="1" x14ac:dyDescent="0.2">
      <c r="A659" s="189" t="s">
        <v>39</v>
      </c>
      <c r="B659" s="189" t="s">
        <v>124</v>
      </c>
      <c r="C659" s="253" t="s">
        <v>99</v>
      </c>
      <c r="D659" s="262">
        <v>407882</v>
      </c>
    </row>
    <row r="661" spans="1:10" x14ac:dyDescent="0.25">
      <c r="A661" s="473" t="s">
        <v>648</v>
      </c>
      <c r="B661" s="473"/>
      <c r="C661" s="473"/>
      <c r="D661" s="473"/>
    </row>
    <row r="662" spans="1:10" x14ac:dyDescent="0.25">
      <c r="A662" s="473" t="s">
        <v>650</v>
      </c>
      <c r="B662" s="473"/>
      <c r="C662" s="473"/>
      <c r="D662" s="473"/>
      <c r="H662" s="183" t="s">
        <v>738</v>
      </c>
    </row>
    <row r="663" spans="1:10" x14ac:dyDescent="0.25">
      <c r="A663" s="476" t="s">
        <v>739</v>
      </c>
      <c r="B663" s="476"/>
      <c r="C663" s="476"/>
      <c r="D663" s="476"/>
      <c r="H663" s="185" t="s">
        <v>327</v>
      </c>
    </row>
    <row r="665" spans="1:10" ht="22.35" customHeight="1" x14ac:dyDescent="0.25">
      <c r="A665" s="186" t="s">
        <v>2</v>
      </c>
      <c r="B665" s="186" t="s">
        <v>653</v>
      </c>
      <c r="C665" s="186" t="s">
        <v>5</v>
      </c>
      <c r="D665" s="314">
        <v>2019</v>
      </c>
      <c r="H665" s="187" t="s">
        <v>721</v>
      </c>
    </row>
    <row r="666" spans="1:10" s="244" customFormat="1" ht="22.35" customHeight="1" x14ac:dyDescent="0.25">
      <c r="A666" s="263" t="s">
        <v>6</v>
      </c>
      <c r="B666" s="189" t="s">
        <v>654</v>
      </c>
      <c r="C666" s="319" t="s">
        <v>99</v>
      </c>
      <c r="D666" s="320">
        <v>487673</v>
      </c>
      <c r="G666"/>
      <c r="H666"/>
    </row>
    <row r="667" spans="1:10" s="244" customFormat="1" ht="11.85" customHeight="1" x14ac:dyDescent="0.2">
      <c r="A667" s="263" t="s">
        <v>0</v>
      </c>
      <c r="B667" s="189" t="s">
        <v>55</v>
      </c>
      <c r="C667" s="319" t="s">
        <v>99</v>
      </c>
      <c r="D667" s="320">
        <v>472935</v>
      </c>
      <c r="G667" s="474" t="s">
        <v>2</v>
      </c>
      <c r="H667" s="475" t="s">
        <v>722</v>
      </c>
      <c r="I667" s="192">
        <v>2019</v>
      </c>
      <c r="J667" s="193"/>
    </row>
    <row r="668" spans="1:10" ht="11.85" customHeight="1" x14ac:dyDescent="0.25">
      <c r="A668" s="264" t="s">
        <v>46</v>
      </c>
      <c r="B668" s="198" t="s">
        <v>94</v>
      </c>
      <c r="C668" s="321" t="s">
        <v>99</v>
      </c>
      <c r="D668" s="321"/>
      <c r="G668" s="474"/>
      <c r="H668" s="475"/>
      <c r="I668" s="195"/>
      <c r="J668" s="196">
        <v>3253412</v>
      </c>
    </row>
    <row r="669" spans="1:10" ht="11.85" customHeight="1" x14ac:dyDescent="0.25">
      <c r="A669" s="264" t="s">
        <v>56</v>
      </c>
      <c r="B669" s="198" t="s">
        <v>57</v>
      </c>
      <c r="C669" s="321" t="s">
        <v>99</v>
      </c>
      <c r="D669" s="321"/>
      <c r="G669" s="474"/>
      <c r="H669" s="475" t="s">
        <v>337</v>
      </c>
      <c r="I669" s="201" t="s">
        <v>338</v>
      </c>
      <c r="J669" s="193"/>
    </row>
    <row r="670" spans="1:10" ht="11.85" customHeight="1" x14ac:dyDescent="0.25">
      <c r="A670" s="264" t="s">
        <v>98</v>
      </c>
      <c r="B670" s="198" t="s">
        <v>16</v>
      </c>
      <c r="C670" s="321" t="s">
        <v>99</v>
      </c>
      <c r="D670" s="321"/>
      <c r="G670" s="474"/>
      <c r="H670" s="475"/>
      <c r="I670" s="203" t="s">
        <v>341</v>
      </c>
      <c r="J670" s="203" t="s">
        <v>342</v>
      </c>
    </row>
    <row r="671" spans="1:10" ht="11.85" customHeight="1" x14ac:dyDescent="0.25">
      <c r="A671" s="264" t="s">
        <v>58</v>
      </c>
      <c r="B671" s="198" t="s">
        <v>661</v>
      </c>
      <c r="C671" s="321" t="s">
        <v>99</v>
      </c>
      <c r="D671" s="321"/>
      <c r="G671" s="204"/>
    </row>
    <row r="672" spans="1:10" ht="11.85" customHeight="1" x14ac:dyDescent="0.25">
      <c r="A672" s="264" t="s">
        <v>59</v>
      </c>
      <c r="B672" s="198" t="s">
        <v>60</v>
      </c>
      <c r="C672" s="321" t="s">
        <v>99</v>
      </c>
      <c r="D672" s="322">
        <v>472935</v>
      </c>
      <c r="E672" s="200">
        <f>J676</f>
        <v>472935315</v>
      </c>
      <c r="G672" s="205">
        <v>1</v>
      </c>
      <c r="H672" s="206" t="s">
        <v>52</v>
      </c>
      <c r="I672" s="210"/>
      <c r="J672" s="210"/>
    </row>
    <row r="673" spans="1:10" s="244" customFormat="1" ht="11.85" customHeight="1" x14ac:dyDescent="0.2">
      <c r="A673" s="263" t="s">
        <v>1</v>
      </c>
      <c r="B673" s="189" t="s">
        <v>95</v>
      </c>
      <c r="C673" s="319" t="s">
        <v>99</v>
      </c>
      <c r="D673" s="319"/>
      <c r="E673" s="244" t="s">
        <v>740</v>
      </c>
      <c r="F673" s="244">
        <v>2915</v>
      </c>
      <c r="G673" s="205">
        <v>2</v>
      </c>
      <c r="H673" s="206" t="s">
        <v>347</v>
      </c>
      <c r="I673" s="210"/>
      <c r="J673" s="210"/>
    </row>
    <row r="674" spans="1:10" ht="11.85" customHeight="1" x14ac:dyDescent="0.25">
      <c r="A674" s="264" t="s">
        <v>106</v>
      </c>
      <c r="B674" s="198" t="s">
        <v>61</v>
      </c>
      <c r="C674" s="321" t="s">
        <v>99</v>
      </c>
      <c r="D674" s="321"/>
      <c r="E674" t="s">
        <v>741</v>
      </c>
      <c r="F674" s="184">
        <v>470020</v>
      </c>
      <c r="G674" s="205">
        <v>3</v>
      </c>
      <c r="H674" s="206" t="s">
        <v>349</v>
      </c>
      <c r="I674" s="210"/>
      <c r="J674" s="210"/>
    </row>
    <row r="675" spans="1:10" ht="11.85" customHeight="1" x14ac:dyDescent="0.25">
      <c r="A675" s="264" t="s">
        <v>47</v>
      </c>
      <c r="B675" s="198" t="s">
        <v>141</v>
      </c>
      <c r="C675" s="321" t="s">
        <v>99</v>
      </c>
      <c r="D675" s="321"/>
      <c r="F675" s="184">
        <f>SUM(F673:F674)</f>
        <v>472935</v>
      </c>
      <c r="G675" s="205">
        <v>4</v>
      </c>
      <c r="H675" s="206" t="s">
        <v>351</v>
      </c>
      <c r="I675" s="210"/>
      <c r="J675" s="210"/>
    </row>
    <row r="676" spans="1:10" s="244" customFormat="1" ht="11.85" customHeight="1" x14ac:dyDescent="0.2">
      <c r="A676" s="263" t="s">
        <v>54</v>
      </c>
      <c r="B676" s="189" t="s">
        <v>18</v>
      </c>
      <c r="C676" s="319" t="s">
        <v>99</v>
      </c>
      <c r="D676" s="319"/>
      <c r="G676" s="205">
        <v>5</v>
      </c>
      <c r="H676" s="206" t="s">
        <v>353</v>
      </c>
      <c r="I676" s="209">
        <v>145.37</v>
      </c>
      <c r="J676" s="207">
        <v>472935315</v>
      </c>
    </row>
    <row r="677" spans="1:10" s="244" customFormat="1" ht="11.85" customHeight="1" x14ac:dyDescent="0.2">
      <c r="A677" s="263" t="s">
        <v>53</v>
      </c>
      <c r="B677" s="189" t="s">
        <v>108</v>
      </c>
      <c r="C677" s="319" t="s">
        <v>99</v>
      </c>
      <c r="D677" s="319"/>
      <c r="G677" s="205">
        <v>6</v>
      </c>
      <c r="H677" s="206" t="s">
        <v>355</v>
      </c>
      <c r="I677" s="210"/>
      <c r="J677" s="210"/>
    </row>
    <row r="678" spans="1:10" ht="22.35" customHeight="1" x14ac:dyDescent="0.25">
      <c r="A678" s="264" t="s">
        <v>109</v>
      </c>
      <c r="B678" s="198" t="s">
        <v>742</v>
      </c>
      <c r="C678" s="321" t="s">
        <v>99</v>
      </c>
      <c r="D678" s="321"/>
      <c r="G678" s="205">
        <v>7</v>
      </c>
      <c r="H678" s="206" t="s">
        <v>357</v>
      </c>
      <c r="I678" s="210"/>
      <c r="J678" s="210"/>
    </row>
    <row r="679" spans="1:10" s="244" customFormat="1" ht="11.85" customHeight="1" x14ac:dyDescent="0.2">
      <c r="A679" s="263" t="s">
        <v>63</v>
      </c>
      <c r="B679" s="189" t="s">
        <v>97</v>
      </c>
      <c r="C679" s="319" t="s">
        <v>99</v>
      </c>
      <c r="D679" s="320">
        <v>14738</v>
      </c>
      <c r="E679" s="243">
        <f>J700</f>
        <v>14738088.039999999</v>
      </c>
      <c r="G679" s="205">
        <v>8</v>
      </c>
      <c r="H679" s="206" t="s">
        <v>359</v>
      </c>
      <c r="I679" s="210"/>
      <c r="J679" s="210"/>
    </row>
    <row r="680" spans="1:10" ht="11.85" customHeight="1" x14ac:dyDescent="0.25">
      <c r="A680" s="264"/>
      <c r="B680" s="189" t="s">
        <v>728</v>
      </c>
      <c r="C680" s="319" t="s">
        <v>99</v>
      </c>
      <c r="D680" s="320">
        <v>14738</v>
      </c>
      <c r="G680" s="205">
        <v>9</v>
      </c>
      <c r="H680" s="206" t="s">
        <v>361</v>
      </c>
      <c r="I680" s="210"/>
      <c r="J680" s="210"/>
    </row>
    <row r="681" spans="1:10" ht="11.85" customHeight="1" x14ac:dyDescent="0.25">
      <c r="A681" s="264"/>
      <c r="B681" s="211" t="s">
        <v>360</v>
      </c>
      <c r="C681" s="197"/>
      <c r="D681" s="267"/>
      <c r="G681" s="205">
        <v>10</v>
      </c>
      <c r="H681" s="206" t="s">
        <v>363</v>
      </c>
      <c r="I681" s="210"/>
      <c r="J681" s="210"/>
    </row>
    <row r="682" spans="1:10" ht="11.85" customHeight="1" x14ac:dyDescent="0.25">
      <c r="A682" s="264"/>
      <c r="B682" s="198" t="s">
        <v>401</v>
      </c>
      <c r="C682" s="197" t="s">
        <v>99</v>
      </c>
      <c r="D682" s="199">
        <v>5271</v>
      </c>
      <c r="G682" s="205">
        <v>11</v>
      </c>
      <c r="H682" s="206" t="s">
        <v>366</v>
      </c>
      <c r="I682" s="210"/>
      <c r="J682" s="210"/>
    </row>
    <row r="683" spans="1:10" ht="11.85" customHeight="1" x14ac:dyDescent="0.25">
      <c r="A683" s="264"/>
      <c r="B683" s="198" t="s">
        <v>403</v>
      </c>
      <c r="C683" s="197" t="s">
        <v>99</v>
      </c>
      <c r="D683" s="199">
        <v>1282</v>
      </c>
      <c r="G683" s="205">
        <v>12</v>
      </c>
      <c r="H683" s="206" t="s">
        <v>367</v>
      </c>
      <c r="I683" s="210"/>
      <c r="J683" s="210"/>
    </row>
    <row r="684" spans="1:10" ht="11.85" customHeight="1" x14ac:dyDescent="0.25">
      <c r="A684" s="264"/>
      <c r="B684" s="198" t="s">
        <v>406</v>
      </c>
      <c r="C684" s="197" t="s">
        <v>99</v>
      </c>
      <c r="D684" s="214">
        <v>567</v>
      </c>
      <c r="G684" s="205">
        <v>13</v>
      </c>
      <c r="H684" s="206" t="s">
        <v>369</v>
      </c>
      <c r="I684" s="210"/>
      <c r="J684" s="210"/>
    </row>
    <row r="685" spans="1:10" ht="11.85" customHeight="1" x14ac:dyDescent="0.25">
      <c r="A685" s="264"/>
      <c r="B685" s="198" t="s">
        <v>409</v>
      </c>
      <c r="C685" s="197" t="s">
        <v>99</v>
      </c>
      <c r="D685" s="199">
        <v>1010</v>
      </c>
      <c r="G685" s="205">
        <v>14</v>
      </c>
      <c r="H685" s="206" t="s">
        <v>18</v>
      </c>
      <c r="I685" s="210"/>
      <c r="J685" s="210"/>
    </row>
    <row r="686" spans="1:10" ht="11.85" customHeight="1" x14ac:dyDescent="0.25">
      <c r="A686" s="264"/>
      <c r="B686" s="198" t="s">
        <v>411</v>
      </c>
      <c r="C686" s="197" t="s">
        <v>99</v>
      </c>
      <c r="D686" s="214">
        <v>403</v>
      </c>
      <c r="G686" s="212">
        <v>15</v>
      </c>
      <c r="H686" s="206" t="s">
        <v>372</v>
      </c>
      <c r="I686" s="210"/>
      <c r="J686" s="210"/>
    </row>
    <row r="687" spans="1:10" ht="11.85" customHeight="1" x14ac:dyDescent="0.25">
      <c r="A687" s="264"/>
      <c r="B687" s="198" t="s">
        <v>413</v>
      </c>
      <c r="C687" s="197" t="s">
        <v>99</v>
      </c>
      <c r="D687" s="214">
        <v>965</v>
      </c>
      <c r="G687" s="213" t="s">
        <v>374</v>
      </c>
      <c r="H687" s="206" t="s">
        <v>111</v>
      </c>
      <c r="I687" s="210"/>
      <c r="J687" s="210"/>
    </row>
    <row r="688" spans="1:10" ht="11.85" customHeight="1" x14ac:dyDescent="0.25">
      <c r="A688" s="264"/>
      <c r="B688" s="198" t="s">
        <v>415</v>
      </c>
      <c r="C688" s="197" t="s">
        <v>99</v>
      </c>
      <c r="D688" s="214">
        <v>31</v>
      </c>
      <c r="G688" s="213" t="s">
        <v>375</v>
      </c>
      <c r="H688" s="206" t="s">
        <v>376</v>
      </c>
      <c r="I688" s="210"/>
      <c r="J688" s="210"/>
    </row>
    <row r="689" spans="1:10" ht="11.85" customHeight="1" x14ac:dyDescent="0.25">
      <c r="A689" s="264"/>
      <c r="B689" s="198" t="s">
        <v>417</v>
      </c>
      <c r="C689" s="197" t="s">
        <v>99</v>
      </c>
      <c r="D689" s="197"/>
      <c r="G689" s="213" t="s">
        <v>378</v>
      </c>
      <c r="H689" s="206" t="s">
        <v>379</v>
      </c>
      <c r="I689" s="210"/>
      <c r="J689" s="210"/>
    </row>
    <row r="690" spans="1:10" ht="11.85" customHeight="1" x14ac:dyDescent="0.25">
      <c r="A690" s="264"/>
      <c r="B690" s="198" t="s">
        <v>419</v>
      </c>
      <c r="C690" s="197" t="s">
        <v>99</v>
      </c>
      <c r="D690" s="197"/>
      <c r="G690" s="213" t="s">
        <v>381</v>
      </c>
      <c r="H690" s="206" t="s">
        <v>367</v>
      </c>
      <c r="I690" s="210"/>
      <c r="J690" s="210"/>
    </row>
    <row r="691" spans="1:10" ht="11.85" customHeight="1" x14ac:dyDescent="0.25">
      <c r="A691" s="264"/>
      <c r="B691" s="198" t="s">
        <v>422</v>
      </c>
      <c r="C691" s="197" t="s">
        <v>99</v>
      </c>
      <c r="D691" s="214">
        <v>887</v>
      </c>
      <c r="G691" s="213" t="s">
        <v>382</v>
      </c>
      <c r="H691" s="206" t="s">
        <v>369</v>
      </c>
      <c r="I691" s="210"/>
      <c r="J691" s="210"/>
    </row>
    <row r="692" spans="1:10" ht="11.85" customHeight="1" x14ac:dyDescent="0.25">
      <c r="A692" s="264"/>
      <c r="B692" s="198" t="s">
        <v>423</v>
      </c>
      <c r="C692" s="197" t="s">
        <v>99</v>
      </c>
      <c r="D692" s="199">
        <v>2010</v>
      </c>
      <c r="G692" s="213" t="s">
        <v>384</v>
      </c>
      <c r="H692" s="206" t="s">
        <v>18</v>
      </c>
      <c r="I692" s="210"/>
      <c r="J692" s="210"/>
    </row>
    <row r="693" spans="1:10" ht="22.35" customHeight="1" x14ac:dyDescent="0.25">
      <c r="A693" s="264"/>
      <c r="B693" s="198" t="s">
        <v>425</v>
      </c>
      <c r="C693" s="197" t="s">
        <v>99</v>
      </c>
      <c r="D693" s="214">
        <v>699</v>
      </c>
      <c r="G693" s="213" t="s">
        <v>386</v>
      </c>
      <c r="H693" s="206" t="s">
        <v>387</v>
      </c>
      <c r="I693" s="210"/>
      <c r="J693" s="210"/>
    </row>
    <row r="694" spans="1:10" ht="11.85" customHeight="1" x14ac:dyDescent="0.25">
      <c r="A694" s="264"/>
      <c r="B694" s="198" t="s">
        <v>428</v>
      </c>
      <c r="C694" s="197" t="s">
        <v>99</v>
      </c>
      <c r="D694" s="214">
        <v>269</v>
      </c>
      <c r="G694" s="213" t="s">
        <v>389</v>
      </c>
      <c r="H694" s="206" t="s">
        <v>377</v>
      </c>
      <c r="I694" s="210"/>
      <c r="J694" s="210"/>
    </row>
    <row r="695" spans="1:10" ht="11.85" customHeight="1" x14ac:dyDescent="0.25">
      <c r="A695" s="264"/>
      <c r="B695" s="198" t="s">
        <v>429</v>
      </c>
      <c r="C695" s="197" t="s">
        <v>99</v>
      </c>
      <c r="D695" s="199">
        <v>1097</v>
      </c>
      <c r="G695" s="213" t="s">
        <v>391</v>
      </c>
      <c r="H695" s="215" t="s">
        <v>392</v>
      </c>
      <c r="I695" s="303">
        <v>145.37</v>
      </c>
      <c r="J695" s="216">
        <v>472935315</v>
      </c>
    </row>
    <row r="696" spans="1:10" ht="11.85" customHeight="1" x14ac:dyDescent="0.25">
      <c r="A696" s="264"/>
      <c r="B696" s="198" t="s">
        <v>431</v>
      </c>
      <c r="C696" s="197" t="s">
        <v>99</v>
      </c>
      <c r="D696" s="214">
        <v>86</v>
      </c>
      <c r="G696" s="217"/>
      <c r="J696" s="218"/>
    </row>
    <row r="697" spans="1:10" ht="11.85" customHeight="1" x14ac:dyDescent="0.25">
      <c r="A697" s="264"/>
      <c r="B697" s="198" t="s">
        <v>432</v>
      </c>
      <c r="C697" s="197" t="s">
        <v>99</v>
      </c>
      <c r="D697" s="214">
        <v>162</v>
      </c>
      <c r="G697" s="205">
        <v>16</v>
      </c>
      <c r="H697" s="206" t="s">
        <v>395</v>
      </c>
      <c r="I697" s="210"/>
      <c r="J697" s="210"/>
    </row>
    <row r="698" spans="1:10" s="244" customFormat="1" ht="11.85" customHeight="1" x14ac:dyDescent="0.2">
      <c r="A698" s="263" t="s">
        <v>23</v>
      </c>
      <c r="B698" s="189" t="s">
        <v>743</v>
      </c>
      <c r="C698" s="319" t="s">
        <v>99</v>
      </c>
      <c r="D698" s="320">
        <v>7604</v>
      </c>
      <c r="G698" s="205">
        <v>17</v>
      </c>
      <c r="H698" s="206" t="s">
        <v>397</v>
      </c>
      <c r="I698" s="210"/>
      <c r="J698" s="210"/>
    </row>
    <row r="699" spans="1:10" s="244" customFormat="1" ht="11.85" customHeight="1" x14ac:dyDescent="0.2">
      <c r="A699" s="263" t="s">
        <v>68</v>
      </c>
      <c r="B699" s="189" t="s">
        <v>115</v>
      </c>
      <c r="C699" s="319" t="s">
        <v>99</v>
      </c>
      <c r="D699" s="320">
        <v>7604</v>
      </c>
      <c r="E699" s="243">
        <f>J704+J705+J706+J707</f>
        <v>7603928.6699999999</v>
      </c>
      <c r="G699" s="205">
        <v>18</v>
      </c>
      <c r="H699" s="206" t="s">
        <v>399</v>
      </c>
      <c r="I699" s="210"/>
      <c r="J699" s="210"/>
    </row>
    <row r="700" spans="1:10" ht="11.85" customHeight="1" x14ac:dyDescent="0.25">
      <c r="A700" s="264" t="s">
        <v>69</v>
      </c>
      <c r="B700" s="198" t="s">
        <v>70</v>
      </c>
      <c r="C700" s="321" t="s">
        <v>99</v>
      </c>
      <c r="D700" s="322">
        <v>4784</v>
      </c>
      <c r="G700" s="205">
        <v>19</v>
      </c>
      <c r="H700" s="206" t="s">
        <v>400</v>
      </c>
      <c r="I700" s="209">
        <v>4.53</v>
      </c>
      <c r="J700" s="207">
        <v>14738088.039999999</v>
      </c>
    </row>
    <row r="701" spans="1:10" ht="11.85" customHeight="1" x14ac:dyDescent="0.25">
      <c r="A701" s="264" t="s">
        <v>71</v>
      </c>
      <c r="B701" s="189" t="s">
        <v>62</v>
      </c>
      <c r="C701" s="319" t="s">
        <v>99</v>
      </c>
      <c r="D701" s="323">
        <v>460</v>
      </c>
      <c r="G701" s="212">
        <v>20</v>
      </c>
      <c r="H701" s="206" t="s">
        <v>402</v>
      </c>
      <c r="I701" s="210"/>
      <c r="J701" s="210"/>
    </row>
    <row r="702" spans="1:10" ht="11.85" customHeight="1" x14ac:dyDescent="0.25">
      <c r="A702" s="264"/>
      <c r="B702" s="211" t="s">
        <v>360</v>
      </c>
      <c r="C702" s="197"/>
      <c r="D702" s="197"/>
      <c r="G702" s="213" t="s">
        <v>404</v>
      </c>
      <c r="H702" s="215" t="s">
        <v>405</v>
      </c>
      <c r="I702" s="303">
        <v>149.9</v>
      </c>
      <c r="J702" s="216">
        <v>487673403.04000002</v>
      </c>
    </row>
    <row r="703" spans="1:10" ht="11.85" customHeight="1" x14ac:dyDescent="0.25">
      <c r="A703" s="264"/>
      <c r="B703" s="198" t="s">
        <v>488</v>
      </c>
      <c r="C703" s="197" t="s">
        <v>99</v>
      </c>
      <c r="D703" s="214">
        <v>323</v>
      </c>
      <c r="G703" s="217"/>
      <c r="J703" s="220"/>
    </row>
    <row r="704" spans="1:10" ht="11.85" customHeight="1" x14ac:dyDescent="0.25">
      <c r="A704" s="264"/>
      <c r="B704" s="198" t="s">
        <v>490</v>
      </c>
      <c r="C704" s="197" t="s">
        <v>99</v>
      </c>
      <c r="D704" s="214">
        <v>90</v>
      </c>
      <c r="G704" s="212">
        <v>21</v>
      </c>
      <c r="H704" s="206" t="s">
        <v>408</v>
      </c>
      <c r="I704" s="209">
        <v>2.04</v>
      </c>
      <c r="J704" s="207">
        <v>6649318.3600000003</v>
      </c>
    </row>
    <row r="705" spans="1:10" ht="11.85" customHeight="1" x14ac:dyDescent="0.25">
      <c r="A705" s="264"/>
      <c r="B705" s="198" t="s">
        <v>491</v>
      </c>
      <c r="C705" s="197" t="s">
        <v>99</v>
      </c>
      <c r="D705" s="214">
        <v>47</v>
      </c>
      <c r="G705" s="212">
        <v>22</v>
      </c>
      <c r="H705" s="206" t="s">
        <v>410</v>
      </c>
      <c r="I705" s="209">
        <v>0.05</v>
      </c>
      <c r="J705" s="207">
        <v>173319.45</v>
      </c>
    </row>
    <row r="706" spans="1:10" ht="11.85" customHeight="1" x14ac:dyDescent="0.25">
      <c r="A706" s="198" t="s">
        <v>72</v>
      </c>
      <c r="B706" s="198" t="s">
        <v>22</v>
      </c>
      <c r="C706" s="249" t="s">
        <v>99</v>
      </c>
      <c r="D706" s="276">
        <v>805</v>
      </c>
      <c r="G706" s="212">
        <v>23</v>
      </c>
      <c r="H706" s="206" t="s">
        <v>412</v>
      </c>
      <c r="I706" s="209">
        <v>0.11</v>
      </c>
      <c r="J706" s="207">
        <v>351620.88</v>
      </c>
    </row>
    <row r="707" spans="1:10" ht="11.85" customHeight="1" x14ac:dyDescent="0.25">
      <c r="A707" s="264" t="s">
        <v>73</v>
      </c>
      <c r="B707" s="198" t="s">
        <v>744</v>
      </c>
      <c r="C707" s="321" t="s">
        <v>99</v>
      </c>
      <c r="D707" s="322">
        <v>1555</v>
      </c>
      <c r="G707" s="212">
        <v>24</v>
      </c>
      <c r="H707" s="206" t="s">
        <v>414</v>
      </c>
      <c r="I707" s="209">
        <v>0.13</v>
      </c>
      <c r="J707" s="207">
        <v>429669.98</v>
      </c>
    </row>
    <row r="708" spans="1:10" ht="11.85" customHeight="1" x14ac:dyDescent="0.25">
      <c r="A708" s="264" t="s">
        <v>74</v>
      </c>
      <c r="B708" s="198" t="s">
        <v>25</v>
      </c>
      <c r="C708" s="321" t="s">
        <v>99</v>
      </c>
      <c r="D708" s="324">
        <v>80</v>
      </c>
      <c r="G708" s="213" t="s">
        <v>420</v>
      </c>
      <c r="H708" s="215" t="s">
        <v>421</v>
      </c>
      <c r="I708" s="303">
        <v>152.22999999999999</v>
      </c>
      <c r="J708" s="216">
        <v>495277331.70999998</v>
      </c>
    </row>
    <row r="709" spans="1:10" ht="11.85" customHeight="1" x14ac:dyDescent="0.25">
      <c r="A709" s="264" t="s">
        <v>75</v>
      </c>
      <c r="B709" s="198" t="s">
        <v>26</v>
      </c>
      <c r="C709" s="321" t="s">
        <v>99</v>
      </c>
      <c r="D709" s="324">
        <v>63</v>
      </c>
      <c r="G709" s="213"/>
      <c r="H709" s="221"/>
      <c r="I709" s="210"/>
      <c r="J709" s="210"/>
    </row>
    <row r="710" spans="1:10" ht="11.85" customHeight="1" x14ac:dyDescent="0.25">
      <c r="A710" s="264" t="s">
        <v>76</v>
      </c>
      <c r="B710" s="189" t="s">
        <v>118</v>
      </c>
      <c r="C710" s="319" t="s">
        <v>99</v>
      </c>
      <c r="D710" s="325">
        <v>53</v>
      </c>
      <c r="G710" s="213"/>
      <c r="H710" s="221" t="s">
        <v>424</v>
      </c>
      <c r="I710" s="210"/>
      <c r="J710" s="210"/>
    </row>
    <row r="711" spans="1:10" ht="11.85" customHeight="1" x14ac:dyDescent="0.25">
      <c r="A711" s="264"/>
      <c r="B711" s="211" t="s">
        <v>360</v>
      </c>
      <c r="C711" s="197"/>
      <c r="D711" s="197"/>
    </row>
    <row r="712" spans="1:10" ht="11.85" customHeight="1" x14ac:dyDescent="0.25">
      <c r="A712" s="264"/>
      <c r="B712" s="198" t="s">
        <v>506</v>
      </c>
      <c r="C712" s="197" t="s">
        <v>99</v>
      </c>
      <c r="D712" s="214">
        <v>34</v>
      </c>
    </row>
    <row r="713" spans="1:10" ht="11.85" customHeight="1" x14ac:dyDescent="0.25">
      <c r="A713" s="264"/>
      <c r="B713" s="198" t="s">
        <v>507</v>
      </c>
      <c r="C713" s="197" t="s">
        <v>99</v>
      </c>
      <c r="D713" s="197"/>
    </row>
    <row r="714" spans="1:10" ht="11.85" customHeight="1" x14ac:dyDescent="0.25">
      <c r="A714" s="264"/>
      <c r="B714" s="198" t="s">
        <v>509</v>
      </c>
      <c r="C714" s="197" t="s">
        <v>99</v>
      </c>
      <c r="D714" s="214">
        <v>8</v>
      </c>
    </row>
    <row r="715" spans="1:10" ht="11.85" customHeight="1" x14ac:dyDescent="0.25">
      <c r="A715" s="264"/>
      <c r="B715" s="198" t="s">
        <v>511</v>
      </c>
      <c r="C715" s="197" t="s">
        <v>99</v>
      </c>
      <c r="D715" s="214">
        <v>1</v>
      </c>
    </row>
    <row r="716" spans="1:10" ht="11.85" customHeight="1" x14ac:dyDescent="0.25">
      <c r="A716" s="264"/>
      <c r="B716" s="198" t="s">
        <v>512</v>
      </c>
      <c r="C716" s="197" t="s">
        <v>99</v>
      </c>
      <c r="D716" s="214">
        <v>10</v>
      </c>
    </row>
    <row r="717" spans="1:10" ht="11.85" customHeight="1" x14ac:dyDescent="0.25">
      <c r="A717" s="264" t="s">
        <v>77</v>
      </c>
      <c r="B717" s="198" t="s">
        <v>48</v>
      </c>
      <c r="C717" s="321" t="s">
        <v>99</v>
      </c>
      <c r="D717" s="324">
        <v>7</v>
      </c>
    </row>
    <row r="718" spans="1:10" ht="11.85" customHeight="1" x14ac:dyDescent="0.25">
      <c r="A718" s="264" t="s">
        <v>78</v>
      </c>
      <c r="B718" s="198" t="s">
        <v>28</v>
      </c>
      <c r="C718" s="321" t="s">
        <v>99</v>
      </c>
      <c r="D718" s="324">
        <v>63</v>
      </c>
    </row>
    <row r="719" spans="1:10" ht="11.85" customHeight="1" x14ac:dyDescent="0.25">
      <c r="A719" s="264" t="s">
        <v>79</v>
      </c>
      <c r="B719" s="198" t="s">
        <v>149</v>
      </c>
      <c r="C719" s="321" t="s">
        <v>99</v>
      </c>
      <c r="D719" s="326">
        <v>42</v>
      </c>
    </row>
    <row r="720" spans="1:10" ht="11.85" customHeight="1" x14ac:dyDescent="0.25">
      <c r="A720" s="264" t="s">
        <v>80</v>
      </c>
      <c r="B720" s="198" t="s">
        <v>29</v>
      </c>
      <c r="C720" s="321" t="s">
        <v>99</v>
      </c>
      <c r="D720" s="326">
        <v>6</v>
      </c>
    </row>
    <row r="721" spans="1:4" ht="11.85" customHeight="1" x14ac:dyDescent="0.25">
      <c r="A721" s="264" t="s">
        <v>81</v>
      </c>
      <c r="B721" s="198" t="s">
        <v>30</v>
      </c>
      <c r="C721" s="321" t="s">
        <v>99</v>
      </c>
      <c r="D721" s="321"/>
    </row>
    <row r="722" spans="1:4" ht="11.85" customHeight="1" x14ac:dyDescent="0.25">
      <c r="A722" s="264" t="s">
        <v>745</v>
      </c>
      <c r="B722" s="198" t="s">
        <v>83</v>
      </c>
      <c r="C722" s="321" t="s">
        <v>99</v>
      </c>
      <c r="D722" s="326">
        <v>87</v>
      </c>
    </row>
    <row r="723" spans="1:4" ht="11.85" customHeight="1" x14ac:dyDescent="0.25">
      <c r="A723" s="264" t="s">
        <v>84</v>
      </c>
      <c r="B723" s="189" t="s">
        <v>31</v>
      </c>
      <c r="C723" s="319" t="s">
        <v>99</v>
      </c>
      <c r="D723" s="323">
        <v>6</v>
      </c>
    </row>
    <row r="724" spans="1:4" ht="11.85" customHeight="1" x14ac:dyDescent="0.25">
      <c r="A724" s="264"/>
      <c r="B724" s="211" t="s">
        <v>360</v>
      </c>
      <c r="C724" s="197"/>
      <c r="D724" s="197"/>
    </row>
    <row r="725" spans="1:4" ht="11.85" customHeight="1" x14ac:dyDescent="0.25">
      <c r="A725" s="264"/>
      <c r="B725" s="198" t="s">
        <v>528</v>
      </c>
      <c r="C725" s="197" t="s">
        <v>99</v>
      </c>
      <c r="D725" s="197"/>
    </row>
    <row r="726" spans="1:4" ht="11.85" customHeight="1" x14ac:dyDescent="0.25">
      <c r="A726" s="264"/>
      <c r="B726" s="198" t="s">
        <v>530</v>
      </c>
      <c r="C726" s="197" t="s">
        <v>99</v>
      </c>
      <c r="D726" s="214">
        <v>2</v>
      </c>
    </row>
    <row r="727" spans="1:4" ht="11.85" customHeight="1" x14ac:dyDescent="0.25">
      <c r="A727" s="264"/>
      <c r="B727" s="198" t="s">
        <v>532</v>
      </c>
      <c r="C727" s="197" t="s">
        <v>99</v>
      </c>
      <c r="D727" s="214">
        <v>4</v>
      </c>
    </row>
    <row r="728" spans="1:4" ht="11.85" customHeight="1" x14ac:dyDescent="0.25">
      <c r="A728" s="264" t="s">
        <v>85</v>
      </c>
      <c r="B728" s="198" t="s">
        <v>120</v>
      </c>
      <c r="C728" s="321" t="s">
        <v>99</v>
      </c>
      <c r="D728" s="326">
        <v>430</v>
      </c>
    </row>
    <row r="729" spans="1:4" ht="11.85" customHeight="1" x14ac:dyDescent="0.25">
      <c r="A729" s="264" t="s">
        <v>86</v>
      </c>
      <c r="B729" s="198" t="s">
        <v>33</v>
      </c>
      <c r="C729" s="321" t="s">
        <v>99</v>
      </c>
      <c r="D729" s="326">
        <v>29</v>
      </c>
    </row>
    <row r="730" spans="1:4" ht="11.85" customHeight="1" x14ac:dyDescent="0.25">
      <c r="A730" s="264" t="s">
        <v>87</v>
      </c>
      <c r="B730" s="198" t="s">
        <v>34</v>
      </c>
      <c r="C730" s="321" t="s">
        <v>99</v>
      </c>
      <c r="D730" s="321"/>
    </row>
    <row r="731" spans="1:4" ht="11.85" customHeight="1" x14ac:dyDescent="0.25">
      <c r="A731" s="264" t="s">
        <v>88</v>
      </c>
      <c r="B731" s="198" t="s">
        <v>121</v>
      </c>
      <c r="C731" s="321" t="s">
        <v>99</v>
      </c>
      <c r="D731" s="326">
        <v>352</v>
      </c>
    </row>
    <row r="732" spans="1:4" ht="11.85" customHeight="1" x14ac:dyDescent="0.25">
      <c r="A732" s="264" t="s">
        <v>89</v>
      </c>
      <c r="B732" s="189" t="s">
        <v>122</v>
      </c>
      <c r="C732" s="319" t="s">
        <v>99</v>
      </c>
      <c r="D732" s="323">
        <v>147</v>
      </c>
    </row>
    <row r="733" spans="1:4" ht="11.85" customHeight="1" x14ac:dyDescent="0.25">
      <c r="A733" s="264"/>
      <c r="B733" s="211" t="s">
        <v>360</v>
      </c>
      <c r="C733" s="197"/>
      <c r="D733" s="197"/>
    </row>
    <row r="734" spans="1:4" ht="11.85" customHeight="1" x14ac:dyDescent="0.25">
      <c r="A734" s="264"/>
      <c r="B734" s="198" t="s">
        <v>546</v>
      </c>
      <c r="C734" s="197" t="s">
        <v>99</v>
      </c>
      <c r="D734" s="197"/>
    </row>
    <row r="735" spans="1:4" ht="11.85" customHeight="1" x14ac:dyDescent="0.25">
      <c r="A735" s="264"/>
      <c r="B735" s="198" t="s">
        <v>548</v>
      </c>
      <c r="C735" s="197" t="s">
        <v>99</v>
      </c>
      <c r="D735" s="214">
        <v>106</v>
      </c>
    </row>
    <row r="736" spans="1:4" ht="11.85" customHeight="1" x14ac:dyDescent="0.25">
      <c r="A736" s="264"/>
      <c r="B736" s="198" t="s">
        <v>550</v>
      </c>
      <c r="C736" s="197" t="s">
        <v>99</v>
      </c>
      <c r="D736" s="197"/>
    </row>
    <row r="737" spans="1:4" ht="11.85" customHeight="1" x14ac:dyDescent="0.25">
      <c r="A737" s="264"/>
      <c r="B737" s="198" t="s">
        <v>552</v>
      </c>
      <c r="C737" s="197" t="s">
        <v>99</v>
      </c>
      <c r="D737" s="214">
        <v>14</v>
      </c>
    </row>
    <row r="738" spans="1:4" ht="11.85" customHeight="1" x14ac:dyDescent="0.25">
      <c r="A738" s="264"/>
      <c r="B738" s="198" t="s">
        <v>554</v>
      </c>
      <c r="C738" s="197" t="s">
        <v>99</v>
      </c>
      <c r="D738" s="197"/>
    </row>
    <row r="739" spans="1:4" ht="11.85" customHeight="1" x14ac:dyDescent="0.25">
      <c r="A739" s="264"/>
      <c r="B739" s="198" t="s">
        <v>556</v>
      </c>
      <c r="C739" s="197" t="s">
        <v>99</v>
      </c>
      <c r="D739" s="214">
        <v>4</v>
      </c>
    </row>
    <row r="740" spans="1:4" ht="11.85" customHeight="1" x14ac:dyDescent="0.25">
      <c r="A740" s="264"/>
      <c r="B740" s="198" t="s">
        <v>558</v>
      </c>
      <c r="C740" s="197" t="s">
        <v>99</v>
      </c>
      <c r="D740" s="197"/>
    </row>
    <row r="741" spans="1:4" ht="11.85" customHeight="1" x14ac:dyDescent="0.25">
      <c r="A741" s="264"/>
      <c r="B741" s="198" t="s">
        <v>560</v>
      </c>
      <c r="C741" s="197" t="s">
        <v>99</v>
      </c>
      <c r="D741" s="197"/>
    </row>
    <row r="742" spans="1:4" ht="11.85" customHeight="1" x14ac:dyDescent="0.25">
      <c r="A742" s="264"/>
      <c r="B742" s="198" t="s">
        <v>562</v>
      </c>
      <c r="C742" s="197" t="s">
        <v>99</v>
      </c>
      <c r="D742" s="214">
        <v>10</v>
      </c>
    </row>
    <row r="743" spans="1:4" ht="11.85" customHeight="1" x14ac:dyDescent="0.25">
      <c r="A743" s="264"/>
      <c r="B743" s="198" t="s">
        <v>564</v>
      </c>
      <c r="C743" s="197" t="s">
        <v>99</v>
      </c>
      <c r="D743" s="214">
        <v>13</v>
      </c>
    </row>
    <row r="744" spans="1:4" ht="11.85" customHeight="1" x14ac:dyDescent="0.25">
      <c r="A744" s="264"/>
      <c r="B744" s="198" t="s">
        <v>566</v>
      </c>
      <c r="C744" s="197" t="s">
        <v>99</v>
      </c>
      <c r="D744" s="214">
        <v>-1</v>
      </c>
    </row>
    <row r="745" spans="1:4" ht="11.85" customHeight="1" x14ac:dyDescent="0.25">
      <c r="A745" s="264"/>
      <c r="B745" s="198" t="s">
        <v>568</v>
      </c>
      <c r="C745" s="197" t="s">
        <v>99</v>
      </c>
      <c r="D745" s="197"/>
    </row>
    <row r="746" spans="1:4" ht="11.85" customHeight="1" x14ac:dyDescent="0.25">
      <c r="A746" s="264" t="s">
        <v>90</v>
      </c>
      <c r="B746" s="198" t="s">
        <v>36</v>
      </c>
      <c r="C746" s="321" t="s">
        <v>99</v>
      </c>
      <c r="D746" s="326">
        <v>103</v>
      </c>
    </row>
    <row r="747" spans="1:4" ht="11.85" customHeight="1" x14ac:dyDescent="0.25">
      <c r="A747" s="264" t="s">
        <v>91</v>
      </c>
      <c r="B747" s="189" t="s">
        <v>123</v>
      </c>
      <c r="C747" s="319" t="s">
        <v>99</v>
      </c>
      <c r="D747" s="323">
        <v>87</v>
      </c>
    </row>
    <row r="748" spans="1:4" ht="11.85" customHeight="1" x14ac:dyDescent="0.25">
      <c r="A748" s="264"/>
      <c r="B748" s="211" t="s">
        <v>360</v>
      </c>
      <c r="C748" s="197"/>
      <c r="D748" s="197"/>
    </row>
    <row r="749" spans="1:4" ht="11.85" customHeight="1" x14ac:dyDescent="0.25">
      <c r="A749" s="264"/>
      <c r="B749" s="198" t="s">
        <v>574</v>
      </c>
      <c r="C749" s="197" t="s">
        <v>99</v>
      </c>
      <c r="D749" s="214">
        <v>20</v>
      </c>
    </row>
    <row r="750" spans="1:4" ht="11.85" customHeight="1" x14ac:dyDescent="0.25">
      <c r="A750" s="264"/>
      <c r="B750" s="198" t="s">
        <v>576</v>
      </c>
      <c r="C750" s="197" t="s">
        <v>99</v>
      </c>
      <c r="D750" s="214">
        <v>68</v>
      </c>
    </row>
    <row r="751" spans="1:4" s="244" customFormat="1" ht="11.85" customHeight="1" x14ac:dyDescent="0.2">
      <c r="A751" s="301">
        <v>7</v>
      </c>
      <c r="B751" s="189" t="s">
        <v>38</v>
      </c>
      <c r="C751" s="319" t="s">
        <v>99</v>
      </c>
      <c r="D751" s="319"/>
    </row>
    <row r="752" spans="1:4" s="244" customFormat="1" ht="11.85" customHeight="1" x14ac:dyDescent="0.2">
      <c r="A752" s="263" t="s">
        <v>39</v>
      </c>
      <c r="B752" s="189" t="s">
        <v>124</v>
      </c>
      <c r="C752" s="319" t="s">
        <v>99</v>
      </c>
      <c r="D752" s="320">
        <v>495277</v>
      </c>
    </row>
    <row r="754" spans="1:10" x14ac:dyDescent="0.25">
      <c r="A754" s="473" t="s">
        <v>648</v>
      </c>
      <c r="B754" s="473"/>
      <c r="C754" s="473"/>
      <c r="D754" s="473"/>
    </row>
    <row r="755" spans="1:10" x14ac:dyDescent="0.25">
      <c r="A755" s="473" t="s">
        <v>650</v>
      </c>
      <c r="B755" s="473"/>
      <c r="C755" s="473"/>
      <c r="D755" s="473"/>
      <c r="H755" s="183" t="s">
        <v>746</v>
      </c>
    </row>
    <row r="756" spans="1:10" x14ac:dyDescent="0.25">
      <c r="A756" s="473" t="s">
        <v>747</v>
      </c>
      <c r="B756" s="473"/>
      <c r="C756" s="473"/>
      <c r="D756" s="473"/>
      <c r="H756" s="185" t="s">
        <v>325</v>
      </c>
    </row>
    <row r="757" spans="1:10" ht="43.35" customHeight="1" x14ac:dyDescent="0.25">
      <c r="A757" s="186" t="s">
        <v>3</v>
      </c>
      <c r="B757" s="186" t="s">
        <v>748</v>
      </c>
      <c r="C757" s="186" t="s">
        <v>5</v>
      </c>
      <c r="D757" s="186" t="s">
        <v>749</v>
      </c>
    </row>
    <row r="758" spans="1:10" s="244" customFormat="1" ht="22.35" customHeight="1" x14ac:dyDescent="0.25">
      <c r="A758" s="188" t="s">
        <v>6</v>
      </c>
      <c r="B758" s="327" t="s">
        <v>7</v>
      </c>
      <c r="C758" s="319" t="s">
        <v>8</v>
      </c>
      <c r="D758" s="262">
        <v>214725</v>
      </c>
      <c r="G758"/>
      <c r="H758" s="187" t="s">
        <v>750</v>
      </c>
    </row>
    <row r="759" spans="1:10" s="244" customFormat="1" ht="11.85" customHeight="1" x14ac:dyDescent="0.25">
      <c r="A759" s="301">
        <v>1</v>
      </c>
      <c r="B759" s="327" t="s">
        <v>9</v>
      </c>
      <c r="C759" s="319" t="s">
        <v>8</v>
      </c>
      <c r="D759" s="262">
        <v>203006</v>
      </c>
      <c r="G759"/>
      <c r="H759"/>
    </row>
    <row r="760" spans="1:10" ht="11.85" customHeight="1" x14ac:dyDescent="0.25">
      <c r="A760" s="264" t="s">
        <v>12</v>
      </c>
      <c r="B760" s="328" t="s">
        <v>13</v>
      </c>
      <c r="C760" s="321" t="s">
        <v>8</v>
      </c>
      <c r="D760" s="267"/>
      <c r="G760" s="474" t="s">
        <v>2</v>
      </c>
      <c r="H760" s="475" t="s">
        <v>751</v>
      </c>
      <c r="I760" s="192">
        <v>2019</v>
      </c>
      <c r="J760" s="193"/>
    </row>
    <row r="761" spans="1:10" ht="11.85" customHeight="1" x14ac:dyDescent="0.25">
      <c r="A761" s="264" t="s">
        <v>96</v>
      </c>
      <c r="B761" s="328" t="s">
        <v>160</v>
      </c>
      <c r="C761" s="321" t="s">
        <v>8</v>
      </c>
      <c r="D761" s="266">
        <v>203006</v>
      </c>
      <c r="G761" s="474"/>
      <c r="H761" s="475"/>
      <c r="I761" s="195"/>
      <c r="J761" s="196">
        <v>202494</v>
      </c>
    </row>
    <row r="762" spans="1:10" ht="11.85" customHeight="1" x14ac:dyDescent="0.25">
      <c r="A762" s="264" t="s">
        <v>15</v>
      </c>
      <c r="B762" s="328" t="s">
        <v>16</v>
      </c>
      <c r="C762" s="321" t="s">
        <v>8</v>
      </c>
      <c r="D762" s="267"/>
      <c r="G762" s="474"/>
      <c r="H762" s="475" t="s">
        <v>337</v>
      </c>
      <c r="I762" s="201" t="s">
        <v>338</v>
      </c>
      <c r="J762" s="193"/>
    </row>
    <row r="763" spans="1:10" ht="11.85" customHeight="1" x14ac:dyDescent="0.25">
      <c r="A763" s="264" t="s">
        <v>161</v>
      </c>
      <c r="B763" s="328" t="s">
        <v>14</v>
      </c>
      <c r="C763" s="321" t="s">
        <v>8</v>
      </c>
      <c r="D763" s="267"/>
      <c r="G763" s="474"/>
      <c r="H763" s="475"/>
      <c r="I763" s="203" t="s">
        <v>341</v>
      </c>
      <c r="J763" s="203" t="s">
        <v>342</v>
      </c>
    </row>
    <row r="764" spans="1:10" ht="11.85" customHeight="1" x14ac:dyDescent="0.25">
      <c r="A764" s="264" t="s">
        <v>162</v>
      </c>
      <c r="B764" s="328" t="s">
        <v>163</v>
      </c>
      <c r="C764" s="321" t="s">
        <v>8</v>
      </c>
      <c r="D764" s="267"/>
      <c r="G764" s="204"/>
    </row>
    <row r="765" spans="1:10" ht="11.85" customHeight="1" x14ac:dyDescent="0.25">
      <c r="A765" s="264" t="s">
        <v>164</v>
      </c>
      <c r="B765" s="328" t="s">
        <v>165</v>
      </c>
      <c r="C765" s="321" t="s">
        <v>8</v>
      </c>
      <c r="D765" s="267"/>
      <c r="G765" s="205">
        <v>1</v>
      </c>
      <c r="H765" s="206" t="s">
        <v>52</v>
      </c>
      <c r="I765" s="210"/>
      <c r="J765" s="210"/>
    </row>
    <row r="766" spans="1:10" s="244" customFormat="1" ht="32.85" customHeight="1" x14ac:dyDescent="0.2">
      <c r="A766" s="263" t="s">
        <v>1</v>
      </c>
      <c r="B766" s="327" t="s">
        <v>166</v>
      </c>
      <c r="C766" s="319" t="s">
        <v>8</v>
      </c>
      <c r="D766" s="186"/>
      <c r="G766" s="205">
        <v>2</v>
      </c>
      <c r="H766" s="206" t="s">
        <v>347</v>
      </c>
      <c r="I766" s="210"/>
      <c r="J766" s="210"/>
    </row>
    <row r="767" spans="1:10" s="244" customFormat="1" ht="11.85" customHeight="1" x14ac:dyDescent="0.2">
      <c r="A767" s="263" t="s">
        <v>54</v>
      </c>
      <c r="B767" s="327" t="s">
        <v>17</v>
      </c>
      <c r="C767" s="319" t="s">
        <v>8</v>
      </c>
      <c r="D767" s="262">
        <v>7290</v>
      </c>
      <c r="G767" s="205">
        <v>3</v>
      </c>
      <c r="H767" s="206" t="s">
        <v>349</v>
      </c>
      <c r="I767" s="210"/>
      <c r="J767" s="210"/>
    </row>
    <row r="768" spans="1:10" ht="11.85" customHeight="1" x14ac:dyDescent="0.25">
      <c r="A768" s="263" t="s">
        <v>139</v>
      </c>
      <c r="B768" s="327" t="s">
        <v>752</v>
      </c>
      <c r="C768" s="319" t="s">
        <v>8</v>
      </c>
      <c r="D768" s="262">
        <v>6625</v>
      </c>
      <c r="G768" s="205">
        <v>4</v>
      </c>
      <c r="H768" s="206" t="s">
        <v>351</v>
      </c>
      <c r="I768" s="210"/>
      <c r="J768" s="210"/>
    </row>
    <row r="769" spans="1:10" ht="22.35" customHeight="1" x14ac:dyDescent="0.25">
      <c r="A769" s="264"/>
      <c r="B769" s="328" t="s">
        <v>753</v>
      </c>
      <c r="C769" s="321" t="s">
        <v>8</v>
      </c>
      <c r="D769" s="266">
        <v>5378</v>
      </c>
      <c r="G769" s="205">
        <v>5</v>
      </c>
      <c r="H769" s="206" t="s">
        <v>353</v>
      </c>
      <c r="I769" s="210"/>
      <c r="J769" s="210"/>
    </row>
    <row r="770" spans="1:10" ht="22.35" customHeight="1" x14ac:dyDescent="0.25">
      <c r="A770" s="264"/>
      <c r="B770" s="328" t="s">
        <v>754</v>
      </c>
      <c r="C770" s="321" t="s">
        <v>8</v>
      </c>
      <c r="D770" s="266">
        <v>1247</v>
      </c>
      <c r="G770" s="205">
        <v>6</v>
      </c>
      <c r="H770" s="206" t="s">
        <v>355</v>
      </c>
      <c r="I770" s="210"/>
      <c r="J770" s="210"/>
    </row>
    <row r="771" spans="1:10" ht="11.85" customHeight="1" x14ac:dyDescent="0.25">
      <c r="A771" s="264" t="s">
        <v>140</v>
      </c>
      <c r="B771" s="327" t="s">
        <v>62</v>
      </c>
      <c r="C771" s="319" t="s">
        <v>8</v>
      </c>
      <c r="D771" s="268">
        <v>665</v>
      </c>
      <c r="G771" s="205">
        <v>7</v>
      </c>
      <c r="H771" s="206" t="s">
        <v>357</v>
      </c>
      <c r="I771" s="210"/>
      <c r="J771" s="210"/>
    </row>
    <row r="772" spans="1:10" ht="11.85" customHeight="1" x14ac:dyDescent="0.25">
      <c r="A772" s="264"/>
      <c r="B772" s="211" t="s">
        <v>360</v>
      </c>
      <c r="C772" s="197"/>
      <c r="D772" s="197"/>
      <c r="G772" s="205">
        <v>8</v>
      </c>
      <c r="H772" s="206" t="s">
        <v>359</v>
      </c>
      <c r="I772" s="207">
        <v>1002.53</v>
      </c>
      <c r="J772" s="207">
        <v>203006465.72999999</v>
      </c>
    </row>
    <row r="773" spans="1:10" ht="11.85" customHeight="1" x14ac:dyDescent="0.25">
      <c r="A773" s="264"/>
      <c r="B773" s="198" t="s">
        <v>368</v>
      </c>
      <c r="C773" s="197" t="s">
        <v>99</v>
      </c>
      <c r="D773" s="214">
        <v>368</v>
      </c>
      <c r="G773" s="205">
        <v>9</v>
      </c>
      <c r="H773" s="206" t="s">
        <v>361</v>
      </c>
      <c r="I773" s="210"/>
      <c r="J773" s="210"/>
    </row>
    <row r="774" spans="1:10" ht="11.85" customHeight="1" x14ac:dyDescent="0.25">
      <c r="A774" s="264"/>
      <c r="B774" s="198" t="s">
        <v>370</v>
      </c>
      <c r="C774" s="197" t="s">
        <v>99</v>
      </c>
      <c r="D774" s="214">
        <v>199</v>
      </c>
      <c r="G774" s="205">
        <v>10</v>
      </c>
      <c r="H774" s="206" t="s">
        <v>363</v>
      </c>
      <c r="I774" s="210"/>
      <c r="J774" s="210"/>
    </row>
    <row r="775" spans="1:10" ht="11.85" customHeight="1" x14ac:dyDescent="0.25">
      <c r="A775" s="264"/>
      <c r="B775" s="198" t="s">
        <v>373</v>
      </c>
      <c r="C775" s="197" t="s">
        <v>99</v>
      </c>
      <c r="D775" s="214">
        <v>98</v>
      </c>
      <c r="G775" s="205">
        <v>11</v>
      </c>
      <c r="H775" s="206" t="s">
        <v>366</v>
      </c>
      <c r="I775" s="209">
        <v>26.56</v>
      </c>
      <c r="J775" s="207">
        <v>5377915.54</v>
      </c>
    </row>
    <row r="776" spans="1:10" s="244" customFormat="1" ht="11.85" customHeight="1" x14ac:dyDescent="0.2">
      <c r="A776" s="263" t="s">
        <v>53</v>
      </c>
      <c r="B776" s="327" t="s">
        <v>18</v>
      </c>
      <c r="C776" s="319" t="s">
        <v>8</v>
      </c>
      <c r="D776" s="262">
        <v>4397</v>
      </c>
      <c r="G776" s="205">
        <v>12</v>
      </c>
      <c r="H776" s="206" t="s">
        <v>367</v>
      </c>
      <c r="I776" s="209">
        <v>1.45</v>
      </c>
      <c r="J776" s="207">
        <v>294200.95</v>
      </c>
    </row>
    <row r="777" spans="1:10" s="244" customFormat="1" ht="11.85" customHeight="1" x14ac:dyDescent="0.2">
      <c r="A777" s="263" t="s">
        <v>63</v>
      </c>
      <c r="B777" s="327" t="s">
        <v>19</v>
      </c>
      <c r="C777" s="319" t="s">
        <v>8</v>
      </c>
      <c r="D777" s="186"/>
      <c r="G777" s="205">
        <v>13</v>
      </c>
      <c r="H777" s="206" t="s">
        <v>369</v>
      </c>
      <c r="I777" s="209">
        <v>1.22</v>
      </c>
      <c r="J777" s="207">
        <v>246267.2</v>
      </c>
    </row>
    <row r="778" spans="1:10" ht="22.35" customHeight="1" x14ac:dyDescent="0.25">
      <c r="A778" s="264" t="s">
        <v>64</v>
      </c>
      <c r="B778" s="328" t="s">
        <v>20</v>
      </c>
      <c r="C778" s="321" t="s">
        <v>8</v>
      </c>
      <c r="D778" s="267"/>
      <c r="G778" s="205">
        <v>14</v>
      </c>
      <c r="H778" s="206" t="s">
        <v>18</v>
      </c>
      <c r="I778" s="209">
        <v>21.72</v>
      </c>
      <c r="J778" s="207">
        <v>4397287.9400000004</v>
      </c>
    </row>
    <row r="779" spans="1:10" s="244" customFormat="1" ht="11.85" customHeight="1" x14ac:dyDescent="0.2">
      <c r="A779" s="263" t="s">
        <v>68</v>
      </c>
      <c r="B779" s="327" t="s">
        <v>755</v>
      </c>
      <c r="C779" s="319" t="s">
        <v>8</v>
      </c>
      <c r="D779" s="268">
        <v>31</v>
      </c>
      <c r="G779" s="212">
        <v>15</v>
      </c>
      <c r="H779" s="206" t="s">
        <v>372</v>
      </c>
      <c r="I779" s="209">
        <v>6.93</v>
      </c>
      <c r="J779" s="207">
        <v>1402925.96</v>
      </c>
    </row>
    <row r="780" spans="1:10" ht="11.85" customHeight="1" x14ac:dyDescent="0.25">
      <c r="A780" s="264" t="s">
        <v>69</v>
      </c>
      <c r="B780" s="328" t="s">
        <v>167</v>
      </c>
      <c r="C780" s="321" t="s">
        <v>8</v>
      </c>
      <c r="D780" s="267"/>
      <c r="G780" s="213" t="s">
        <v>374</v>
      </c>
      <c r="H780" s="206" t="s">
        <v>111</v>
      </c>
      <c r="I780" s="210"/>
      <c r="J780" s="210"/>
    </row>
    <row r="781" spans="1:10" ht="11.85" customHeight="1" x14ac:dyDescent="0.25">
      <c r="A781" s="264" t="s">
        <v>71</v>
      </c>
      <c r="B781" s="328" t="s">
        <v>26</v>
      </c>
      <c r="C781" s="321" t="s">
        <v>8</v>
      </c>
      <c r="D781" s="267"/>
      <c r="G781" s="213" t="s">
        <v>375</v>
      </c>
      <c r="H781" s="206" t="s">
        <v>376</v>
      </c>
      <c r="I781" s="210"/>
      <c r="J781" s="210"/>
    </row>
    <row r="782" spans="1:10" ht="11.85" customHeight="1" x14ac:dyDescent="0.25">
      <c r="A782" s="264" t="s">
        <v>72</v>
      </c>
      <c r="B782" s="328" t="s">
        <v>136</v>
      </c>
      <c r="C782" s="321" t="s">
        <v>8</v>
      </c>
      <c r="D782" s="267"/>
      <c r="G782" s="213" t="s">
        <v>378</v>
      </c>
      <c r="H782" s="206" t="s">
        <v>379</v>
      </c>
      <c r="I782" s="209">
        <v>6.16</v>
      </c>
      <c r="J782" s="207">
        <v>1247350.33</v>
      </c>
    </row>
    <row r="783" spans="1:10" ht="11.85" customHeight="1" x14ac:dyDescent="0.25">
      <c r="A783" s="264" t="s">
        <v>73</v>
      </c>
      <c r="B783" s="328" t="s">
        <v>28</v>
      </c>
      <c r="C783" s="321" t="s">
        <v>8</v>
      </c>
      <c r="D783" s="267"/>
      <c r="G783" s="213" t="s">
        <v>381</v>
      </c>
      <c r="H783" s="206" t="s">
        <v>367</v>
      </c>
      <c r="I783" s="209">
        <v>0.37</v>
      </c>
      <c r="J783" s="207">
        <v>74038.600000000006</v>
      </c>
    </row>
    <row r="784" spans="1:10" ht="11.85" customHeight="1" x14ac:dyDescent="0.25">
      <c r="A784" s="264" t="s">
        <v>168</v>
      </c>
      <c r="B784" s="328" t="s">
        <v>30</v>
      </c>
      <c r="C784" s="321" t="s">
        <v>8</v>
      </c>
      <c r="D784" s="267"/>
      <c r="G784" s="213" t="s">
        <v>382</v>
      </c>
      <c r="H784" s="206" t="s">
        <v>369</v>
      </c>
      <c r="I784" s="209">
        <v>0.25</v>
      </c>
      <c r="J784" s="207">
        <v>50511.01</v>
      </c>
    </row>
    <row r="785" spans="1:10" ht="11.85" customHeight="1" x14ac:dyDescent="0.25">
      <c r="A785" s="264" t="s">
        <v>169</v>
      </c>
      <c r="B785" s="327" t="s">
        <v>31</v>
      </c>
      <c r="C785" s="319" t="s">
        <v>8</v>
      </c>
      <c r="D785" s="268">
        <v>31</v>
      </c>
      <c r="G785" s="213" t="s">
        <v>384</v>
      </c>
      <c r="H785" s="206" t="s">
        <v>18</v>
      </c>
      <c r="I785" s="210"/>
      <c r="J785" s="210"/>
    </row>
    <row r="786" spans="1:10" ht="11.85" customHeight="1" x14ac:dyDescent="0.25">
      <c r="A786" s="264"/>
      <c r="B786" s="211" t="s">
        <v>360</v>
      </c>
      <c r="C786" s="197"/>
      <c r="D786" s="197"/>
      <c r="G786" s="213" t="s">
        <v>386</v>
      </c>
      <c r="H786" s="206" t="s">
        <v>387</v>
      </c>
      <c r="I786" s="209">
        <v>0.15</v>
      </c>
      <c r="J786" s="207">
        <v>31026.02</v>
      </c>
    </row>
    <row r="787" spans="1:10" ht="11.85" customHeight="1" x14ac:dyDescent="0.25">
      <c r="A787" s="264"/>
      <c r="B787" s="198" t="s">
        <v>726</v>
      </c>
      <c r="C787" s="197" t="s">
        <v>99</v>
      </c>
      <c r="D787" s="214">
        <v>31</v>
      </c>
      <c r="G787" s="213" t="s">
        <v>389</v>
      </c>
      <c r="H787" s="206" t="s">
        <v>377</v>
      </c>
      <c r="I787" s="210"/>
      <c r="J787" s="210"/>
    </row>
    <row r="788" spans="1:10" ht="22.35" customHeight="1" x14ac:dyDescent="0.25">
      <c r="A788" s="264" t="s">
        <v>170</v>
      </c>
      <c r="B788" s="328" t="s">
        <v>756</v>
      </c>
      <c r="C788" s="321" t="s">
        <v>8</v>
      </c>
      <c r="D788" s="267"/>
      <c r="G788" s="213" t="s">
        <v>391</v>
      </c>
      <c r="H788" s="215" t="s">
        <v>392</v>
      </c>
      <c r="I788" s="216">
        <v>1060.4000000000001</v>
      </c>
      <c r="J788" s="216">
        <v>214725063.31999999</v>
      </c>
    </row>
    <row r="789" spans="1:10" ht="11.85" customHeight="1" x14ac:dyDescent="0.25">
      <c r="A789" s="264" t="s">
        <v>171</v>
      </c>
      <c r="B789" s="328" t="s">
        <v>172</v>
      </c>
      <c r="C789" s="321" t="s">
        <v>8</v>
      </c>
      <c r="D789" s="267"/>
      <c r="G789" s="217"/>
      <c r="J789" s="218"/>
    </row>
    <row r="790" spans="1:10" ht="22.35" customHeight="1" x14ac:dyDescent="0.25">
      <c r="A790" s="264" t="s">
        <v>173</v>
      </c>
      <c r="B790" s="328" t="s">
        <v>144</v>
      </c>
      <c r="C790" s="321" t="s">
        <v>8</v>
      </c>
      <c r="D790" s="267"/>
      <c r="G790" s="205">
        <v>16</v>
      </c>
      <c r="H790" s="206" t="s">
        <v>395</v>
      </c>
      <c r="I790" s="210"/>
      <c r="J790" s="210"/>
    </row>
    <row r="791" spans="1:10" ht="11.85" customHeight="1" x14ac:dyDescent="0.25">
      <c r="A791" s="264" t="s">
        <v>174</v>
      </c>
      <c r="B791" s="328" t="s">
        <v>146</v>
      </c>
      <c r="C791" s="321" t="s">
        <v>8</v>
      </c>
      <c r="D791" s="267"/>
      <c r="G791" s="205">
        <v>17</v>
      </c>
      <c r="H791" s="206" t="s">
        <v>397</v>
      </c>
      <c r="I791" s="210"/>
      <c r="J791" s="210"/>
    </row>
    <row r="792" spans="1:10" ht="11.85" customHeight="1" x14ac:dyDescent="0.25">
      <c r="A792" s="264" t="s">
        <v>175</v>
      </c>
      <c r="B792" s="328" t="s">
        <v>34</v>
      </c>
      <c r="C792" s="321" t="s">
        <v>8</v>
      </c>
      <c r="D792" s="267"/>
      <c r="G792" s="205">
        <v>18</v>
      </c>
      <c r="H792" s="206" t="s">
        <v>399</v>
      </c>
      <c r="I792" s="210"/>
      <c r="J792" s="210"/>
    </row>
    <row r="793" spans="1:10" ht="11.85" customHeight="1" x14ac:dyDescent="0.25">
      <c r="A793" s="264" t="s">
        <v>757</v>
      </c>
      <c r="B793" s="328" t="s">
        <v>176</v>
      </c>
      <c r="C793" s="321" t="s">
        <v>8</v>
      </c>
      <c r="D793" s="267"/>
      <c r="G793" s="205">
        <v>19</v>
      </c>
      <c r="H793" s="206" t="s">
        <v>400</v>
      </c>
      <c r="I793" s="210"/>
      <c r="J793" s="210"/>
    </row>
    <row r="794" spans="1:10" ht="11.85" customHeight="1" x14ac:dyDescent="0.25">
      <c r="A794" s="263" t="s">
        <v>177</v>
      </c>
      <c r="B794" s="327" t="s">
        <v>178</v>
      </c>
      <c r="C794" s="319" t="s">
        <v>8</v>
      </c>
      <c r="D794" s="186"/>
      <c r="G794" s="212">
        <v>20</v>
      </c>
      <c r="H794" s="206" t="s">
        <v>402</v>
      </c>
      <c r="I794" s="210"/>
      <c r="J794" s="210"/>
    </row>
    <row r="795" spans="1:10" ht="11.85" customHeight="1" x14ac:dyDescent="0.25">
      <c r="A795" s="264"/>
      <c r="B795" s="328" t="s">
        <v>179</v>
      </c>
      <c r="C795" s="321" t="s">
        <v>8</v>
      </c>
      <c r="D795" s="267"/>
      <c r="G795" s="213" t="s">
        <v>404</v>
      </c>
      <c r="H795" s="215" t="s">
        <v>405</v>
      </c>
      <c r="I795" s="216">
        <v>1060.4000000000001</v>
      </c>
      <c r="J795" s="216">
        <v>214725063.31999999</v>
      </c>
    </row>
    <row r="796" spans="1:10" ht="11.85" customHeight="1" x14ac:dyDescent="0.25">
      <c r="A796" s="264"/>
      <c r="B796" s="328" t="s">
        <v>758</v>
      </c>
      <c r="C796" s="321" t="s">
        <v>8</v>
      </c>
      <c r="D796" s="267"/>
      <c r="G796" s="217"/>
      <c r="J796" s="220"/>
    </row>
    <row r="797" spans="1:10" ht="11.85" customHeight="1" x14ac:dyDescent="0.25">
      <c r="A797" s="264"/>
      <c r="B797" s="328" t="s">
        <v>759</v>
      </c>
      <c r="C797" s="321" t="s">
        <v>8</v>
      </c>
      <c r="D797" s="267"/>
      <c r="G797" s="212">
        <v>21</v>
      </c>
      <c r="H797" s="206" t="s">
        <v>408</v>
      </c>
      <c r="I797" s="210"/>
      <c r="J797" s="210"/>
    </row>
    <row r="798" spans="1:10" ht="11.85" customHeight="1" x14ac:dyDescent="0.25">
      <c r="A798" s="264"/>
      <c r="B798" s="328" t="s">
        <v>760</v>
      </c>
      <c r="C798" s="321" t="s">
        <v>8</v>
      </c>
      <c r="D798" s="267"/>
      <c r="G798" s="212">
        <v>22</v>
      </c>
      <c r="H798" s="206" t="s">
        <v>410</v>
      </c>
      <c r="I798" s="210"/>
      <c r="J798" s="210"/>
    </row>
    <row r="799" spans="1:10" s="244" customFormat="1" ht="11.85" customHeight="1" x14ac:dyDescent="0.2">
      <c r="A799" s="263" t="s">
        <v>23</v>
      </c>
      <c r="B799" s="327" t="s">
        <v>24</v>
      </c>
      <c r="C799" s="319" t="s">
        <v>8</v>
      </c>
      <c r="D799" s="186"/>
      <c r="G799" s="212">
        <v>23</v>
      </c>
      <c r="H799" s="206" t="s">
        <v>412</v>
      </c>
      <c r="I799" s="210"/>
      <c r="J799" s="210"/>
    </row>
    <row r="800" spans="1:10" s="244" customFormat="1" ht="11.85" customHeight="1" x14ac:dyDescent="0.2">
      <c r="A800" s="263" t="s">
        <v>215</v>
      </c>
      <c r="B800" s="327" t="s">
        <v>761</v>
      </c>
      <c r="C800" s="319" t="s">
        <v>8</v>
      </c>
      <c r="D800" s="186"/>
      <c r="G800" s="212">
        <v>24</v>
      </c>
      <c r="H800" s="206" t="s">
        <v>414</v>
      </c>
      <c r="I800" s="210"/>
      <c r="J800" s="210"/>
    </row>
    <row r="801" spans="1:10" ht="11.85" customHeight="1" x14ac:dyDescent="0.25">
      <c r="A801" s="263" t="s">
        <v>152</v>
      </c>
      <c r="B801" s="327" t="s">
        <v>762</v>
      </c>
      <c r="C801" s="319" t="s">
        <v>8</v>
      </c>
      <c r="D801" s="186"/>
      <c r="G801" s="213" t="s">
        <v>420</v>
      </c>
      <c r="H801" s="215" t="s">
        <v>421</v>
      </c>
      <c r="I801" s="216">
        <v>1060.4000000000001</v>
      </c>
      <c r="J801" s="216">
        <v>214725063.31999999</v>
      </c>
    </row>
    <row r="802" spans="1:10" ht="11.85" customHeight="1" x14ac:dyDescent="0.25">
      <c r="A802" s="264"/>
      <c r="B802" s="328" t="s">
        <v>763</v>
      </c>
      <c r="C802" s="321" t="s">
        <v>8</v>
      </c>
      <c r="D802" s="267"/>
      <c r="G802" s="213"/>
      <c r="H802" s="221"/>
      <c r="I802" s="210"/>
      <c r="J802" s="210"/>
    </row>
    <row r="803" spans="1:10" ht="11.85" customHeight="1" x14ac:dyDescent="0.25">
      <c r="A803" s="264"/>
      <c r="B803" s="328" t="s">
        <v>764</v>
      </c>
      <c r="C803" s="321" t="s">
        <v>8</v>
      </c>
      <c r="D803" s="267"/>
      <c r="G803" s="213"/>
      <c r="H803" s="221" t="s">
        <v>424</v>
      </c>
      <c r="I803" s="209">
        <v>6.93</v>
      </c>
      <c r="J803" s="207">
        <v>1402925.96</v>
      </c>
    </row>
    <row r="804" spans="1:10" ht="11.85" customHeight="1" x14ac:dyDescent="0.25">
      <c r="A804" s="264" t="s">
        <v>153</v>
      </c>
      <c r="B804" s="328" t="s">
        <v>29</v>
      </c>
      <c r="C804" s="321" t="s">
        <v>8</v>
      </c>
      <c r="D804" s="267"/>
    </row>
    <row r="805" spans="1:10" ht="11.85" customHeight="1" x14ac:dyDescent="0.25">
      <c r="A805" s="264" t="s">
        <v>154</v>
      </c>
      <c r="B805" s="328" t="s">
        <v>25</v>
      </c>
      <c r="C805" s="321" t="s">
        <v>8</v>
      </c>
      <c r="D805" s="267"/>
    </row>
    <row r="806" spans="1:10" ht="22.35" customHeight="1" x14ac:dyDescent="0.25">
      <c r="A806" s="264" t="s">
        <v>156</v>
      </c>
      <c r="B806" s="328" t="s">
        <v>180</v>
      </c>
      <c r="C806" s="321" t="s">
        <v>8</v>
      </c>
      <c r="D806" s="267"/>
    </row>
    <row r="807" spans="1:10" ht="11.85" customHeight="1" x14ac:dyDescent="0.25">
      <c r="A807" s="264" t="s">
        <v>157</v>
      </c>
      <c r="B807" s="328" t="s">
        <v>27</v>
      </c>
      <c r="C807" s="321" t="s">
        <v>8</v>
      </c>
      <c r="D807" s="267"/>
    </row>
    <row r="808" spans="1:10" ht="11.85" customHeight="1" x14ac:dyDescent="0.25">
      <c r="A808" s="264" t="s">
        <v>181</v>
      </c>
      <c r="B808" s="328" t="s">
        <v>35</v>
      </c>
      <c r="C808" s="321" t="s">
        <v>8</v>
      </c>
      <c r="D808" s="267"/>
    </row>
    <row r="809" spans="1:10" ht="11.85" customHeight="1" x14ac:dyDescent="0.25">
      <c r="A809" s="264" t="s">
        <v>159</v>
      </c>
      <c r="B809" s="328" t="s">
        <v>765</v>
      </c>
      <c r="C809" s="321" t="s">
        <v>8</v>
      </c>
      <c r="D809" s="267"/>
    </row>
    <row r="810" spans="1:10" ht="22.35" customHeight="1" x14ac:dyDescent="0.25">
      <c r="A810" s="264" t="s">
        <v>182</v>
      </c>
      <c r="B810" s="328" t="s">
        <v>183</v>
      </c>
      <c r="C810" s="321" t="s">
        <v>8</v>
      </c>
      <c r="D810" s="267"/>
    </row>
    <row r="811" spans="1:10" ht="11.85" customHeight="1" x14ac:dyDescent="0.25">
      <c r="A811" s="264" t="s">
        <v>184</v>
      </c>
      <c r="B811" s="328" t="s">
        <v>31</v>
      </c>
      <c r="C811" s="321" t="s">
        <v>8</v>
      </c>
      <c r="D811" s="267"/>
    </row>
    <row r="812" spans="1:10" ht="11.85" customHeight="1" x14ac:dyDescent="0.25">
      <c r="A812" s="264" t="s">
        <v>185</v>
      </c>
      <c r="B812" s="328" t="s">
        <v>186</v>
      </c>
      <c r="C812" s="321" t="s">
        <v>8</v>
      </c>
      <c r="D812" s="267"/>
    </row>
    <row r="813" spans="1:10" ht="11.85" customHeight="1" x14ac:dyDescent="0.25">
      <c r="A813" s="264" t="s">
        <v>187</v>
      </c>
      <c r="B813" s="328" t="s">
        <v>188</v>
      </c>
      <c r="C813" s="321" t="s">
        <v>8</v>
      </c>
      <c r="D813" s="267"/>
    </row>
    <row r="814" spans="1:10" ht="11.85" customHeight="1" x14ac:dyDescent="0.25">
      <c r="A814" s="263" t="s">
        <v>189</v>
      </c>
      <c r="B814" s="327" t="s">
        <v>766</v>
      </c>
      <c r="C814" s="319" t="s">
        <v>8</v>
      </c>
      <c r="D814" s="186"/>
    </row>
    <row r="815" spans="1:10" ht="11.85" customHeight="1" x14ac:dyDescent="0.25">
      <c r="A815" s="264"/>
      <c r="B815" s="328" t="s">
        <v>190</v>
      </c>
      <c r="C815" s="321" t="s">
        <v>8</v>
      </c>
      <c r="D815" s="267"/>
    </row>
    <row r="816" spans="1:10" ht="11.85" customHeight="1" x14ac:dyDescent="0.25">
      <c r="A816" s="264"/>
      <c r="B816" s="328" t="s">
        <v>191</v>
      </c>
      <c r="C816" s="321" t="s">
        <v>8</v>
      </c>
      <c r="D816" s="267"/>
    </row>
    <row r="817" spans="1:4" ht="11.85" customHeight="1" x14ac:dyDescent="0.25">
      <c r="A817" s="264"/>
      <c r="B817" s="328" t="s">
        <v>192</v>
      </c>
      <c r="C817" s="321" t="s">
        <v>8</v>
      </c>
      <c r="D817" s="267"/>
    </row>
    <row r="818" spans="1:4" ht="11.85" customHeight="1" x14ac:dyDescent="0.25">
      <c r="A818" s="264"/>
      <c r="B818" s="328" t="s">
        <v>193</v>
      </c>
      <c r="C818" s="321" t="s">
        <v>8</v>
      </c>
      <c r="D818" s="267"/>
    </row>
    <row r="819" spans="1:4" ht="11.85" customHeight="1" x14ac:dyDescent="0.25">
      <c r="A819" s="264"/>
      <c r="B819" s="328" t="s">
        <v>194</v>
      </c>
      <c r="C819" s="321" t="s">
        <v>8</v>
      </c>
      <c r="D819" s="267"/>
    </row>
    <row r="820" spans="1:4" ht="11.85" customHeight="1" x14ac:dyDescent="0.25">
      <c r="A820" s="264"/>
      <c r="B820" s="328" t="s">
        <v>195</v>
      </c>
      <c r="C820" s="321" t="s">
        <v>8</v>
      </c>
      <c r="D820" s="267"/>
    </row>
    <row r="821" spans="1:4" ht="11.85" customHeight="1" x14ac:dyDescent="0.25">
      <c r="A821" s="264"/>
      <c r="B821" s="328" t="s">
        <v>196</v>
      </c>
      <c r="C821" s="321" t="s">
        <v>8</v>
      </c>
      <c r="D821" s="267"/>
    </row>
    <row r="822" spans="1:4" s="244" customFormat="1" ht="11.85" customHeight="1" x14ac:dyDescent="0.2">
      <c r="A822" s="263" t="s">
        <v>239</v>
      </c>
      <c r="B822" s="327" t="s">
        <v>416</v>
      </c>
      <c r="C822" s="319" t="s">
        <v>8</v>
      </c>
      <c r="D822" s="186"/>
    </row>
    <row r="823" spans="1:4" ht="11.85" customHeight="1" x14ac:dyDescent="0.25">
      <c r="A823" s="264" t="s">
        <v>130</v>
      </c>
      <c r="B823" s="328" t="s">
        <v>132</v>
      </c>
      <c r="C823" s="321" t="s">
        <v>8</v>
      </c>
      <c r="D823" s="267"/>
    </row>
    <row r="824" spans="1:4" ht="11.85" customHeight="1" x14ac:dyDescent="0.25">
      <c r="A824" s="264" t="s">
        <v>131</v>
      </c>
      <c r="B824" s="328" t="s">
        <v>141</v>
      </c>
      <c r="C824" s="321" t="s">
        <v>8</v>
      </c>
      <c r="D824" s="267"/>
    </row>
    <row r="825" spans="1:4" ht="11.85" customHeight="1" x14ac:dyDescent="0.25">
      <c r="A825" s="264" t="s">
        <v>197</v>
      </c>
      <c r="B825" s="328" t="s">
        <v>155</v>
      </c>
      <c r="C825" s="321" t="s">
        <v>8</v>
      </c>
      <c r="D825" s="267"/>
    </row>
    <row r="826" spans="1:4" ht="22.35" customHeight="1" x14ac:dyDescent="0.25">
      <c r="A826" s="264" t="s">
        <v>198</v>
      </c>
      <c r="B826" s="328" t="s">
        <v>767</v>
      </c>
      <c r="C826" s="321" t="s">
        <v>8</v>
      </c>
      <c r="D826" s="267"/>
    </row>
    <row r="827" spans="1:4" ht="11.85" customHeight="1" x14ac:dyDescent="0.25">
      <c r="A827" s="264" t="s">
        <v>199</v>
      </c>
      <c r="B827" s="328" t="s">
        <v>582</v>
      </c>
      <c r="C827" s="321" t="s">
        <v>8</v>
      </c>
      <c r="D827" s="267"/>
    </row>
    <row r="828" spans="1:4" ht="22.35" customHeight="1" x14ac:dyDescent="0.25">
      <c r="A828" s="264" t="s">
        <v>200</v>
      </c>
      <c r="B828" s="328" t="s">
        <v>20</v>
      </c>
      <c r="C828" s="321" t="s">
        <v>8</v>
      </c>
      <c r="D828" s="267"/>
    </row>
    <row r="829" spans="1:4" ht="11.85" customHeight="1" x14ac:dyDescent="0.25">
      <c r="A829" s="264" t="s">
        <v>201</v>
      </c>
      <c r="B829" s="328" t="s">
        <v>138</v>
      </c>
      <c r="C829" s="321" t="s">
        <v>8</v>
      </c>
      <c r="D829" s="267"/>
    </row>
    <row r="830" spans="1:4" ht="11.85" customHeight="1" x14ac:dyDescent="0.25">
      <c r="A830" s="264" t="s">
        <v>202</v>
      </c>
      <c r="B830" s="328" t="s">
        <v>158</v>
      </c>
      <c r="C830" s="321" t="s">
        <v>8</v>
      </c>
      <c r="D830" s="267"/>
    </row>
    <row r="831" spans="1:4" s="244" customFormat="1" ht="11.85" customHeight="1" x14ac:dyDescent="0.2">
      <c r="A831" s="301">
        <v>9</v>
      </c>
      <c r="B831" s="327" t="s">
        <v>38</v>
      </c>
      <c r="C831" s="319" t="s">
        <v>8</v>
      </c>
      <c r="D831" s="186"/>
    </row>
    <row r="832" spans="1:4" s="244" customFormat="1" ht="11.85" customHeight="1" x14ac:dyDescent="0.2">
      <c r="A832" s="263" t="s">
        <v>420</v>
      </c>
      <c r="B832" s="327" t="s">
        <v>40</v>
      </c>
      <c r="C832" s="319" t="s">
        <v>8</v>
      </c>
      <c r="D832" s="262">
        <v>214725</v>
      </c>
    </row>
    <row r="836" spans="2:10" x14ac:dyDescent="0.25">
      <c r="B836" s="222" t="s">
        <v>768</v>
      </c>
      <c r="C836" s="187" t="s">
        <v>769</v>
      </c>
      <c r="D836"/>
      <c r="H836" s="184" t="s">
        <v>770</v>
      </c>
    </row>
    <row r="837" spans="2:10" x14ac:dyDescent="0.25">
      <c r="B837"/>
      <c r="C837"/>
      <c r="D837"/>
    </row>
    <row r="838" spans="2:10" ht="25.5" x14ac:dyDescent="0.25">
      <c r="B838" s="329"/>
      <c r="C838" s="330">
        <v>7211</v>
      </c>
      <c r="D838" s="304" t="s">
        <v>430</v>
      </c>
      <c r="E838" s="304" t="s">
        <v>663</v>
      </c>
      <c r="F838" s="304" t="s">
        <v>729</v>
      </c>
      <c r="G838" s="304" t="s">
        <v>771</v>
      </c>
      <c r="H838" s="304" t="s">
        <v>772</v>
      </c>
      <c r="I838" s="331" t="s">
        <v>773</v>
      </c>
      <c r="J838" s="332" t="s">
        <v>774</v>
      </c>
    </row>
    <row r="839" spans="2:10" x14ac:dyDescent="0.25">
      <c r="B839" s="305">
        <v>1</v>
      </c>
      <c r="C839" s="305">
        <v>2</v>
      </c>
      <c r="D839" s="305">
        <v>3</v>
      </c>
      <c r="E839" s="305">
        <v>4</v>
      </c>
      <c r="F839" s="305">
        <v>5</v>
      </c>
      <c r="G839" s="305">
        <v>6</v>
      </c>
      <c r="H839" s="305">
        <v>7</v>
      </c>
      <c r="I839" s="305">
        <v>8</v>
      </c>
    </row>
    <row r="840" spans="2:10" ht="26.25" x14ac:dyDescent="0.25">
      <c r="B840" s="206" t="s">
        <v>433</v>
      </c>
      <c r="C840" s="306">
        <v>1183125468</v>
      </c>
      <c r="D840" s="306">
        <v>1097884055</v>
      </c>
      <c r="E840" s="306">
        <v>37237905.43</v>
      </c>
      <c r="F840" s="306">
        <v>40642109.950000003</v>
      </c>
      <c r="G840" s="306">
        <v>2577065.69</v>
      </c>
      <c r="H840" s="306">
        <v>4784331.92</v>
      </c>
      <c r="I840" s="306">
        <v>1183125468</v>
      </c>
      <c r="J840" s="257">
        <f>C940</f>
        <v>1183125468</v>
      </c>
    </row>
    <row r="841" spans="2:10" x14ac:dyDescent="0.25">
      <c r="B841" s="206" t="s">
        <v>434</v>
      </c>
      <c r="C841" s="306">
        <v>79949056.870000005</v>
      </c>
      <c r="D841" s="306">
        <v>74188390.920000002</v>
      </c>
      <c r="E841" s="306">
        <v>2525487.7400000002</v>
      </c>
      <c r="F841" s="306">
        <v>2738469.99</v>
      </c>
      <c r="G841" s="306">
        <v>173804.95</v>
      </c>
      <c r="H841" s="306">
        <v>322903.27</v>
      </c>
      <c r="I841" s="306">
        <v>79949056.870000005</v>
      </c>
      <c r="J841" s="257">
        <f>C941</f>
        <v>79949056.870000005</v>
      </c>
    </row>
    <row r="842" spans="2:10" x14ac:dyDescent="0.25">
      <c r="B842" s="206" t="s">
        <v>435</v>
      </c>
      <c r="C842" s="306">
        <v>22201339.350000001</v>
      </c>
      <c r="D842" s="306">
        <v>20604502.059999999</v>
      </c>
      <c r="E842" s="306">
        <v>687091.73</v>
      </c>
      <c r="F842" s="306">
        <v>770822.92</v>
      </c>
      <c r="G842" s="306">
        <v>48714.38</v>
      </c>
      <c r="H842" s="306">
        <v>90208.29</v>
      </c>
      <c r="I842" s="306">
        <v>22201339.350000001</v>
      </c>
      <c r="J842" s="257">
        <f>C1023</f>
        <v>22201339.350000001</v>
      </c>
    </row>
    <row r="843" spans="2:10" x14ac:dyDescent="0.25">
      <c r="B843" s="206" t="s">
        <v>436</v>
      </c>
      <c r="C843" s="306">
        <v>11518342.119999999</v>
      </c>
      <c r="D843" s="306">
        <v>10690955.869999999</v>
      </c>
      <c r="E843" s="306">
        <v>355582.49</v>
      </c>
      <c r="F843" s="306">
        <v>399773.65</v>
      </c>
      <c r="G843" s="306">
        <v>25249.19</v>
      </c>
      <c r="H843" s="306">
        <v>46780.93</v>
      </c>
      <c r="I843" s="306">
        <v>11518342.119999999</v>
      </c>
      <c r="J843" s="257">
        <f>C1024</f>
        <v>11518342.119999999</v>
      </c>
    </row>
    <row r="844" spans="2:10" x14ac:dyDescent="0.25">
      <c r="B844" s="206" t="s">
        <v>438</v>
      </c>
      <c r="C844" s="306">
        <v>19645044.09</v>
      </c>
      <c r="D844" s="306">
        <v>18233901.149999999</v>
      </c>
      <c r="E844" s="306">
        <v>605550.55000000005</v>
      </c>
      <c r="F844" s="306">
        <v>682541.6</v>
      </c>
      <c r="G844" s="306">
        <v>43114.5</v>
      </c>
      <c r="H844" s="306">
        <v>79936.240000000005</v>
      </c>
      <c r="I844" s="306">
        <v>19645044.09</v>
      </c>
      <c r="J844" s="257">
        <f>C966</f>
        <v>19645044.109999999</v>
      </c>
    </row>
    <row r="845" spans="2:10" x14ac:dyDescent="0.25">
      <c r="B845" s="215" t="s">
        <v>440</v>
      </c>
      <c r="C845" s="307">
        <v>195838685.96000001</v>
      </c>
      <c r="D845" s="307">
        <v>182125845.41</v>
      </c>
      <c r="E845" s="307">
        <v>5534295.2199999997</v>
      </c>
      <c r="F845" s="307">
        <v>6939877.3399999999</v>
      </c>
      <c r="G845" s="307">
        <v>433499.66</v>
      </c>
      <c r="H845" s="307">
        <v>805168.3</v>
      </c>
      <c r="I845" s="307">
        <v>195838685.96000001</v>
      </c>
      <c r="J845" s="333">
        <f>J847+J848+J849+J850+J851+J852+J853+J854+J855</f>
        <v>195838685.96000001</v>
      </c>
    </row>
    <row r="846" spans="2:10" x14ac:dyDescent="0.25">
      <c r="B846" s="334" t="s">
        <v>442</v>
      </c>
      <c r="C846" s="308"/>
      <c r="D846" s="308"/>
      <c r="E846" s="308"/>
      <c r="F846" s="308"/>
      <c r="G846" s="308"/>
      <c r="H846" s="308"/>
      <c r="I846" s="308"/>
    </row>
    <row r="847" spans="2:10" x14ac:dyDescent="0.25">
      <c r="B847" s="206" t="s">
        <v>444</v>
      </c>
      <c r="C847" s="306">
        <v>1678874</v>
      </c>
      <c r="D847" s="306">
        <v>1558829.48</v>
      </c>
      <c r="E847" s="306">
        <v>50617.25</v>
      </c>
      <c r="F847" s="306">
        <v>58888.3</v>
      </c>
      <c r="G847" s="306">
        <v>3673.86</v>
      </c>
      <c r="H847" s="306">
        <v>6865.12</v>
      </c>
      <c r="I847" s="306">
        <v>1678874</v>
      </c>
      <c r="J847" s="257">
        <f>C1008</f>
        <v>1678874</v>
      </c>
    </row>
    <row r="848" spans="2:10" x14ac:dyDescent="0.25">
      <c r="B848" s="206" t="s">
        <v>446</v>
      </c>
      <c r="C848" s="306">
        <v>88035891.959999993</v>
      </c>
      <c r="D848" s="306">
        <v>81722824.129999995</v>
      </c>
      <c r="E848" s="306">
        <v>2684032.0299999998</v>
      </c>
      <c r="F848" s="306">
        <v>3077133.67</v>
      </c>
      <c r="G848" s="306">
        <v>192130.07</v>
      </c>
      <c r="H848" s="306">
        <v>359772.06</v>
      </c>
      <c r="I848" s="306">
        <v>88035891.959999993</v>
      </c>
      <c r="J848" s="257">
        <f>C1009</f>
        <v>88035891.959999993</v>
      </c>
    </row>
    <row r="849" spans="2:10" x14ac:dyDescent="0.25">
      <c r="B849" s="206" t="s">
        <v>448</v>
      </c>
      <c r="C849" s="306">
        <v>6479079</v>
      </c>
      <c r="D849" s="306">
        <v>6157645.4100000001</v>
      </c>
      <c r="E849" s="306">
        <v>1018.51</v>
      </c>
      <c r="F849" s="306">
        <v>278970.28999999998</v>
      </c>
      <c r="G849" s="306">
        <v>16623.240000000002</v>
      </c>
      <c r="H849" s="306">
        <v>24821.55</v>
      </c>
      <c r="I849" s="306">
        <v>6479079</v>
      </c>
      <c r="J849" s="257">
        <f>C1010</f>
        <v>6479079</v>
      </c>
    </row>
    <row r="850" spans="2:10" x14ac:dyDescent="0.25">
      <c r="B850" s="206" t="s">
        <v>450</v>
      </c>
      <c r="C850" s="306">
        <v>42831565</v>
      </c>
      <c r="D850" s="306">
        <v>39809837.390000001</v>
      </c>
      <c r="E850" s="306">
        <v>1243096.72</v>
      </c>
      <c r="F850" s="306">
        <v>1510240.49</v>
      </c>
      <c r="G850" s="306">
        <v>95070.92</v>
      </c>
      <c r="H850" s="306">
        <v>173319.51</v>
      </c>
      <c r="I850" s="306">
        <v>42831565</v>
      </c>
      <c r="J850" s="257">
        <f>C1011</f>
        <v>42831565</v>
      </c>
    </row>
    <row r="851" spans="2:10" ht="26.25" x14ac:dyDescent="0.25">
      <c r="B851" s="206" t="s">
        <v>452</v>
      </c>
      <c r="C851" s="306">
        <v>9202468</v>
      </c>
      <c r="D851" s="306">
        <v>8732322.1999999993</v>
      </c>
      <c r="E851" s="306">
        <v>33560.33</v>
      </c>
      <c r="F851" s="306">
        <v>370006.03</v>
      </c>
      <c r="G851" s="306">
        <v>22874.78</v>
      </c>
      <c r="H851" s="306">
        <v>43704.66</v>
      </c>
      <c r="I851" s="306">
        <v>9202468</v>
      </c>
      <c r="J851" s="257">
        <f>C1013</f>
        <v>9202468</v>
      </c>
    </row>
    <row r="852" spans="2:10" ht="26.25" x14ac:dyDescent="0.25">
      <c r="B852" s="206" t="s">
        <v>454</v>
      </c>
      <c r="C852" s="306">
        <v>46370718</v>
      </c>
      <c r="D852" s="306">
        <v>43055073.560000002</v>
      </c>
      <c r="E852" s="306">
        <v>1398053.71</v>
      </c>
      <c r="F852" s="306">
        <v>1626502.85</v>
      </c>
      <c r="G852" s="306">
        <v>101472.47</v>
      </c>
      <c r="H852" s="306">
        <v>189615.44</v>
      </c>
      <c r="I852" s="306">
        <v>46370718</v>
      </c>
      <c r="J852" s="257">
        <f>C1014</f>
        <v>46370718</v>
      </c>
    </row>
    <row r="853" spans="2:10" x14ac:dyDescent="0.25">
      <c r="B853" s="206" t="s">
        <v>456</v>
      </c>
      <c r="C853" s="306">
        <v>151500</v>
      </c>
      <c r="D853" s="306">
        <v>140883.43</v>
      </c>
      <c r="E853" s="306">
        <v>4327.6400000000003</v>
      </c>
      <c r="F853" s="306">
        <v>5358.75</v>
      </c>
      <c r="G853" s="309">
        <v>332.3</v>
      </c>
      <c r="H853" s="309">
        <v>597.91</v>
      </c>
      <c r="I853" s="306">
        <v>151500</v>
      </c>
      <c r="J853" s="257">
        <f>C1015</f>
        <v>151500</v>
      </c>
    </row>
    <row r="854" spans="2:10" ht="26.25" x14ac:dyDescent="0.25">
      <c r="B854" s="206" t="s">
        <v>458</v>
      </c>
      <c r="C854" s="306">
        <v>419465</v>
      </c>
      <c r="D854" s="306">
        <v>391791.29</v>
      </c>
      <c r="E854" s="306">
        <v>11342.31</v>
      </c>
      <c r="F854" s="306">
        <v>13666</v>
      </c>
      <c r="G854" s="309">
        <v>882.72</v>
      </c>
      <c r="H854" s="306">
        <v>1782.66</v>
      </c>
      <c r="I854" s="306">
        <v>419465</v>
      </c>
      <c r="J854" s="257">
        <f>C1016</f>
        <v>419465</v>
      </c>
    </row>
    <row r="855" spans="2:10" x14ac:dyDescent="0.25">
      <c r="B855" s="206" t="s">
        <v>460</v>
      </c>
      <c r="C855" s="306">
        <v>669125</v>
      </c>
      <c r="D855" s="306">
        <v>556638.55000000005</v>
      </c>
      <c r="E855" s="306">
        <v>108246.73</v>
      </c>
      <c r="F855" s="309">
        <v>-889</v>
      </c>
      <c r="G855" s="309">
        <v>439.32</v>
      </c>
      <c r="H855" s="306">
        <v>4689.41</v>
      </c>
      <c r="I855" s="306">
        <v>669125</v>
      </c>
      <c r="J855" s="257">
        <f>C1012</f>
        <v>669125</v>
      </c>
    </row>
    <row r="856" spans="2:10" x14ac:dyDescent="0.25">
      <c r="B856" s="206" t="s">
        <v>462</v>
      </c>
      <c r="C856" s="306">
        <v>15205919.34</v>
      </c>
      <c r="D856" s="306">
        <v>14172003.029999999</v>
      </c>
      <c r="E856" s="306">
        <v>378956.85</v>
      </c>
      <c r="F856" s="306">
        <v>557078.97</v>
      </c>
      <c r="G856" s="306">
        <v>34879.42</v>
      </c>
      <c r="H856" s="306">
        <v>63001.06</v>
      </c>
      <c r="I856" s="306">
        <v>15205919.34</v>
      </c>
      <c r="J856" s="257">
        <f>C1007</f>
        <v>15205919.34</v>
      </c>
    </row>
    <row r="857" spans="2:10" x14ac:dyDescent="0.25">
      <c r="B857" s="206" t="s">
        <v>464</v>
      </c>
      <c r="C857" s="306">
        <v>1498850</v>
      </c>
      <c r="D857" s="306">
        <v>1379067.88</v>
      </c>
      <c r="E857" s="306">
        <v>61540.5</v>
      </c>
      <c r="F857" s="306">
        <v>47691.27</v>
      </c>
      <c r="G857" s="306">
        <v>3240.05</v>
      </c>
      <c r="H857" s="306">
        <v>7310.3</v>
      </c>
      <c r="I857" s="306">
        <v>1498850</v>
      </c>
      <c r="J857" s="257">
        <f>C1020</f>
        <v>1498850</v>
      </c>
    </row>
    <row r="858" spans="2:10" x14ac:dyDescent="0.25">
      <c r="B858" s="215" t="s">
        <v>466</v>
      </c>
      <c r="C858" s="307">
        <v>13174480.640000001</v>
      </c>
      <c r="D858" s="307">
        <v>12221788.6</v>
      </c>
      <c r="E858" s="307">
        <v>415309.51</v>
      </c>
      <c r="F858" s="307">
        <v>455050.34</v>
      </c>
      <c r="G858" s="307">
        <v>28919.38</v>
      </c>
      <c r="H858" s="307">
        <v>53412.81</v>
      </c>
      <c r="I858" s="307">
        <v>13174480.640000001</v>
      </c>
      <c r="J858" s="333">
        <f>J860+J861+J862+J863+J864</f>
        <v>13174480.640000001</v>
      </c>
    </row>
    <row r="859" spans="2:10" x14ac:dyDescent="0.25">
      <c r="B859" s="334" t="s">
        <v>442</v>
      </c>
      <c r="C859" s="308"/>
      <c r="D859" s="308"/>
      <c r="E859" s="308"/>
      <c r="F859" s="308"/>
      <c r="G859" s="308"/>
      <c r="H859" s="308"/>
      <c r="I859" s="308"/>
    </row>
    <row r="860" spans="2:10" x14ac:dyDescent="0.25">
      <c r="B860" s="206" t="s">
        <v>470</v>
      </c>
      <c r="C860" s="306">
        <v>8458770.3200000003</v>
      </c>
      <c r="D860" s="306">
        <v>7876304.7800000003</v>
      </c>
      <c r="E860" s="306">
        <v>223266.59</v>
      </c>
      <c r="F860" s="306">
        <v>306080.95</v>
      </c>
      <c r="G860" s="306">
        <v>19139.73</v>
      </c>
      <c r="H860" s="306">
        <v>33978.29</v>
      </c>
      <c r="I860" s="306">
        <v>8458770.3200000003</v>
      </c>
      <c r="J860" s="257">
        <f>C967</f>
        <v>8458770.3200000003</v>
      </c>
    </row>
    <row r="861" spans="2:10" x14ac:dyDescent="0.25">
      <c r="B861" s="206" t="s">
        <v>473</v>
      </c>
      <c r="C861" s="306">
        <v>57556.02</v>
      </c>
      <c r="D861" s="306">
        <v>52439.53</v>
      </c>
      <c r="E861" s="306">
        <v>3263.43</v>
      </c>
      <c r="F861" s="306">
        <v>1505.98</v>
      </c>
      <c r="G861" s="309">
        <v>105.29</v>
      </c>
      <c r="H861" s="309">
        <v>241.8</v>
      </c>
      <c r="I861" s="306">
        <v>57556.02</v>
      </c>
      <c r="J861" s="257">
        <f>C968</f>
        <v>57556.02</v>
      </c>
    </row>
    <row r="862" spans="2:10" x14ac:dyDescent="0.25">
      <c r="B862" s="206" t="s">
        <v>476</v>
      </c>
      <c r="C862" s="306">
        <v>1852017.07</v>
      </c>
      <c r="D862" s="306">
        <v>1731700.43</v>
      </c>
      <c r="E862" s="306">
        <v>36617.33</v>
      </c>
      <c r="F862" s="306">
        <v>71696.86</v>
      </c>
      <c r="G862" s="306">
        <v>4452.79</v>
      </c>
      <c r="H862" s="306">
        <v>7549.65</v>
      </c>
      <c r="I862" s="306">
        <v>1852017.07</v>
      </c>
      <c r="J862" s="257">
        <f>C969</f>
        <v>1852017.07</v>
      </c>
    </row>
    <row r="863" spans="2:10" x14ac:dyDescent="0.25">
      <c r="B863" s="206" t="s">
        <v>479</v>
      </c>
      <c r="C863" s="306">
        <v>331117.90000000002</v>
      </c>
      <c r="D863" s="306">
        <v>307859.76</v>
      </c>
      <c r="E863" s="306">
        <v>9516.17</v>
      </c>
      <c r="F863" s="306">
        <v>11681.38</v>
      </c>
      <c r="G863" s="309">
        <v>733.75</v>
      </c>
      <c r="H863" s="306">
        <v>1326.84</v>
      </c>
      <c r="I863" s="306">
        <v>331117.90000000002</v>
      </c>
      <c r="J863" s="257">
        <f>C970</f>
        <v>331117.90000000002</v>
      </c>
    </row>
    <row r="864" spans="2:10" x14ac:dyDescent="0.25">
      <c r="B864" s="206" t="s">
        <v>480</v>
      </c>
      <c r="C864" s="306">
        <v>2475019.33</v>
      </c>
      <c r="D864" s="306">
        <v>2253484.14</v>
      </c>
      <c r="E864" s="306">
        <v>142646.01</v>
      </c>
      <c r="F864" s="306">
        <v>64085.15</v>
      </c>
      <c r="G864" s="306">
        <v>4487.8100000000004</v>
      </c>
      <c r="H864" s="306">
        <v>10316.219999999999</v>
      </c>
      <c r="I864" s="306">
        <v>2475019.33</v>
      </c>
      <c r="J864" s="257">
        <f>C971</f>
        <v>2475019.33</v>
      </c>
    </row>
    <row r="865" spans="2:10" x14ac:dyDescent="0.25">
      <c r="B865" s="206" t="s">
        <v>482</v>
      </c>
      <c r="C865" s="306">
        <v>15686735.810000001</v>
      </c>
      <c r="D865" s="306">
        <v>14550921.949999999</v>
      </c>
      <c r="E865" s="306">
        <v>502017.39</v>
      </c>
      <c r="F865" s="306">
        <v>536565.81000000006</v>
      </c>
      <c r="G865" s="306">
        <v>33967.589999999997</v>
      </c>
      <c r="H865" s="306">
        <v>63263.05</v>
      </c>
      <c r="I865" s="306">
        <v>15686735.810000001</v>
      </c>
      <c r="J865" s="257">
        <f>C995</f>
        <v>15686735.810000001</v>
      </c>
    </row>
    <row r="866" spans="2:10" ht="26.25" x14ac:dyDescent="0.25">
      <c r="B866" s="206" t="s">
        <v>484</v>
      </c>
      <c r="C866" s="306">
        <v>11290000</v>
      </c>
      <c r="D866" s="306">
        <v>10284356.67</v>
      </c>
      <c r="E866" s="306">
        <v>639406.96</v>
      </c>
      <c r="F866" s="306">
        <v>304468.14</v>
      </c>
      <c r="G866" s="306">
        <v>20028.97</v>
      </c>
      <c r="H866" s="306">
        <v>41739.26</v>
      </c>
      <c r="I866" s="306">
        <v>11290000</v>
      </c>
      <c r="J866" s="257">
        <f>C979</f>
        <v>11290000</v>
      </c>
    </row>
    <row r="867" spans="2:10" x14ac:dyDescent="0.25">
      <c r="B867" s="206" t="s">
        <v>486</v>
      </c>
      <c r="C867" s="306">
        <v>1307889.3700000001</v>
      </c>
      <c r="D867" s="306">
        <v>1183964.47</v>
      </c>
      <c r="E867" s="306">
        <v>78630.7</v>
      </c>
      <c r="F867" s="306">
        <v>36364.230000000003</v>
      </c>
      <c r="G867" s="306">
        <v>2502.7399999999998</v>
      </c>
      <c r="H867" s="306">
        <v>6427.23</v>
      </c>
      <c r="I867" s="306">
        <v>1307889.3700000001</v>
      </c>
      <c r="J867" s="257">
        <f>C1000</f>
        <v>1307889.3700000001</v>
      </c>
    </row>
    <row r="868" spans="2:10" x14ac:dyDescent="0.25">
      <c r="B868" s="206" t="s">
        <v>487</v>
      </c>
      <c r="C868" s="306">
        <v>21164951.899999999</v>
      </c>
      <c r="D868" s="306">
        <v>19639429.309999999</v>
      </c>
      <c r="E868" s="306">
        <v>675855.77</v>
      </c>
      <c r="F868" s="306">
        <v>717019.35</v>
      </c>
      <c r="G868" s="306">
        <v>45995.73</v>
      </c>
      <c r="H868" s="306">
        <v>86651.75</v>
      </c>
      <c r="I868" s="306">
        <v>21164951.899999999</v>
      </c>
      <c r="J868" s="257">
        <f>C978</f>
        <v>21164951.899999999</v>
      </c>
    </row>
    <row r="869" spans="2:10" x14ac:dyDescent="0.25">
      <c r="B869" s="215" t="s">
        <v>489</v>
      </c>
      <c r="C869" s="307">
        <v>1329159.58</v>
      </c>
      <c r="D869" s="307">
        <v>1210477.58</v>
      </c>
      <c r="E869" s="307">
        <v>72165.11</v>
      </c>
      <c r="F869" s="307">
        <v>38081.279999999999</v>
      </c>
      <c r="G869" s="307">
        <v>2572.41</v>
      </c>
      <c r="H869" s="307">
        <v>5863.21</v>
      </c>
      <c r="I869" s="307">
        <v>1329159.58</v>
      </c>
      <c r="J869" s="333">
        <f>J871+J872+J873</f>
        <v>1329159.58</v>
      </c>
    </row>
    <row r="870" spans="2:10" x14ac:dyDescent="0.25">
      <c r="B870" s="334" t="s">
        <v>442</v>
      </c>
      <c r="C870" s="308"/>
      <c r="D870" s="308"/>
      <c r="E870" s="308"/>
      <c r="F870" s="308"/>
      <c r="G870" s="308"/>
      <c r="H870" s="308"/>
      <c r="I870" s="308"/>
    </row>
    <row r="871" spans="2:10" x14ac:dyDescent="0.25">
      <c r="B871" s="206" t="s">
        <v>492</v>
      </c>
      <c r="C871" s="306">
        <v>46253.65</v>
      </c>
      <c r="D871" s="306">
        <v>42597.63</v>
      </c>
      <c r="E871" s="306">
        <v>1982.73</v>
      </c>
      <c r="F871" s="306">
        <v>1377.31</v>
      </c>
      <c r="G871" s="309">
        <v>90.67</v>
      </c>
      <c r="H871" s="309">
        <v>205.31</v>
      </c>
      <c r="I871" s="306">
        <v>46253.65</v>
      </c>
      <c r="J871" s="260">
        <f>C948</f>
        <v>46253.65</v>
      </c>
    </row>
    <row r="872" spans="2:10" x14ac:dyDescent="0.25">
      <c r="B872" s="206" t="s">
        <v>494</v>
      </c>
      <c r="C872" s="306">
        <v>436630.49</v>
      </c>
      <c r="D872" s="306">
        <v>396841.33</v>
      </c>
      <c r="E872" s="306">
        <v>25161.33</v>
      </c>
      <c r="F872" s="306">
        <v>11975.46</v>
      </c>
      <c r="G872" s="309">
        <v>829.02</v>
      </c>
      <c r="H872" s="306">
        <v>1823.35</v>
      </c>
      <c r="I872" s="306">
        <v>436630.49</v>
      </c>
      <c r="J872" s="257">
        <f>C949</f>
        <v>436630.49</v>
      </c>
    </row>
    <row r="873" spans="2:10" x14ac:dyDescent="0.25">
      <c r="B873" s="206" t="s">
        <v>497</v>
      </c>
      <c r="C873" s="306">
        <v>846275.44</v>
      </c>
      <c r="D873" s="306">
        <v>771038.63</v>
      </c>
      <c r="E873" s="306">
        <v>45021.04</v>
      </c>
      <c r="F873" s="306">
        <v>24728.5</v>
      </c>
      <c r="G873" s="306">
        <v>1652.72</v>
      </c>
      <c r="H873" s="306">
        <v>3834.54</v>
      </c>
      <c r="I873" s="306">
        <v>846275.44</v>
      </c>
      <c r="J873" s="257">
        <f>C950</f>
        <v>846275.44</v>
      </c>
    </row>
    <row r="874" spans="2:10" x14ac:dyDescent="0.25">
      <c r="B874" s="206" t="s">
        <v>499</v>
      </c>
      <c r="C874" s="306">
        <v>106615998</v>
      </c>
      <c r="D874" s="306">
        <v>99127334.819999993</v>
      </c>
      <c r="E874" s="306">
        <v>3054971.53</v>
      </c>
      <c r="F874" s="306">
        <v>3766693.61</v>
      </c>
      <c r="G874" s="306">
        <v>237327.97</v>
      </c>
      <c r="H874" s="306">
        <v>429670.08</v>
      </c>
      <c r="I874" s="306">
        <v>106615998</v>
      </c>
      <c r="J874" s="257">
        <f>C1014</f>
        <v>46370718</v>
      </c>
    </row>
    <row r="875" spans="2:10" x14ac:dyDescent="0.25">
      <c r="B875" s="206" t="s">
        <v>502</v>
      </c>
      <c r="C875" s="306">
        <v>7256537.04</v>
      </c>
      <c r="D875" s="306">
        <v>6747576.6600000001</v>
      </c>
      <c r="E875" s="306">
        <v>206986.63</v>
      </c>
      <c r="F875" s="306">
        <v>257210.7</v>
      </c>
      <c r="G875" s="306">
        <v>15972.1</v>
      </c>
      <c r="H875" s="306">
        <v>28790.93</v>
      </c>
      <c r="I875" s="306">
        <v>7256537.04</v>
      </c>
      <c r="J875" s="257">
        <f>C980</f>
        <v>7256537.04</v>
      </c>
    </row>
    <row r="876" spans="2:10" x14ac:dyDescent="0.25">
      <c r="B876" s="206" t="s">
        <v>504</v>
      </c>
      <c r="C876" s="306">
        <v>87794537.090000004</v>
      </c>
      <c r="D876" s="306">
        <v>81691466.75</v>
      </c>
      <c r="E876" s="306">
        <v>2461873.64</v>
      </c>
      <c r="F876" s="306">
        <v>3095107.33</v>
      </c>
      <c r="G876" s="306">
        <v>194468.29</v>
      </c>
      <c r="H876" s="306">
        <v>351621.06</v>
      </c>
      <c r="I876" s="306">
        <v>87794537.090000004</v>
      </c>
      <c r="J876" s="257">
        <f>C1018</f>
        <v>87794537.090000004</v>
      </c>
    </row>
    <row r="877" spans="2:10" x14ac:dyDescent="0.25">
      <c r="B877" s="215" t="s">
        <v>505</v>
      </c>
      <c r="C877" s="307">
        <v>37947520.869999997</v>
      </c>
      <c r="D877" s="307">
        <v>35375068.509999998</v>
      </c>
      <c r="E877" s="307">
        <v>946607.92</v>
      </c>
      <c r="F877" s="307">
        <v>1393631.75</v>
      </c>
      <c r="G877" s="307">
        <v>85671.42</v>
      </c>
      <c r="H877" s="307">
        <v>146541.23000000001</v>
      </c>
      <c r="I877" s="307">
        <v>37947520.869999997</v>
      </c>
    </row>
    <row r="878" spans="2:10" x14ac:dyDescent="0.25">
      <c r="B878" s="334" t="s">
        <v>442</v>
      </c>
      <c r="C878" s="308"/>
      <c r="D878" s="308"/>
      <c r="E878" s="308"/>
      <c r="F878" s="308"/>
      <c r="G878" s="308"/>
      <c r="H878" s="308"/>
      <c r="I878" s="308"/>
    </row>
    <row r="879" spans="2:10" x14ac:dyDescent="0.25">
      <c r="B879" s="206" t="s">
        <v>508</v>
      </c>
      <c r="C879" s="306">
        <v>14379.96</v>
      </c>
      <c r="D879" s="306">
        <v>13448.96</v>
      </c>
      <c r="E879" s="309">
        <v>306.26</v>
      </c>
      <c r="F879" s="309">
        <v>532.91999999999996</v>
      </c>
      <c r="G879" s="309">
        <v>33.340000000000003</v>
      </c>
      <c r="H879" s="309">
        <v>58.49</v>
      </c>
      <c r="I879" s="306">
        <v>14379.96</v>
      </c>
      <c r="J879" s="257">
        <f>C981</f>
        <v>14379.96</v>
      </c>
    </row>
    <row r="880" spans="2:10" x14ac:dyDescent="0.25">
      <c r="B880" s="215" t="s">
        <v>510</v>
      </c>
      <c r="C880" s="307">
        <v>27522856.82</v>
      </c>
      <c r="D880" s="307">
        <v>25622027.690000001</v>
      </c>
      <c r="E880" s="307">
        <v>748696.75</v>
      </c>
      <c r="F880" s="307">
        <v>984947.1</v>
      </c>
      <c r="G880" s="307">
        <v>61014.55</v>
      </c>
      <c r="H880" s="307">
        <v>106170.72</v>
      </c>
      <c r="I880" s="307">
        <v>27522856.82</v>
      </c>
      <c r="J880" s="335">
        <f>C982</f>
        <v>27522856.82</v>
      </c>
    </row>
    <row r="881" spans="2:10" x14ac:dyDescent="0.25">
      <c r="B881" s="334" t="s">
        <v>442</v>
      </c>
      <c r="C881" s="308"/>
      <c r="D881" s="308"/>
      <c r="E881" s="308"/>
      <c r="F881" s="308"/>
      <c r="G881" s="308"/>
      <c r="H881" s="308"/>
      <c r="I881" s="308"/>
    </row>
    <row r="882" spans="2:10" x14ac:dyDescent="0.25">
      <c r="B882" s="211" t="s">
        <v>513</v>
      </c>
      <c r="C882" s="336">
        <v>7232.14</v>
      </c>
      <c r="D882" s="311">
        <v>6597.5</v>
      </c>
      <c r="E882" s="310">
        <v>352.63</v>
      </c>
      <c r="F882" s="310">
        <v>228.35</v>
      </c>
      <c r="G882" s="310">
        <v>15.22</v>
      </c>
      <c r="H882" s="310">
        <v>38.44</v>
      </c>
      <c r="I882" s="311">
        <v>7232.14</v>
      </c>
      <c r="J882" s="306">
        <v>7232.14</v>
      </c>
    </row>
    <row r="883" spans="2:10" ht="23.25" x14ac:dyDescent="0.25">
      <c r="B883" s="211" t="s">
        <v>515</v>
      </c>
      <c r="C883" s="336">
        <v>1226400</v>
      </c>
      <c r="D883" s="311">
        <v>1140134.92</v>
      </c>
      <c r="E883" s="311">
        <v>33486.14</v>
      </c>
      <c r="F883" s="311">
        <v>44717.21</v>
      </c>
      <c r="G883" s="311">
        <v>2778.96</v>
      </c>
      <c r="H883" s="311">
        <v>5282.76</v>
      </c>
      <c r="I883" s="311">
        <v>1226399.99</v>
      </c>
      <c r="J883" s="306">
        <v>1226400</v>
      </c>
    </row>
    <row r="884" spans="2:10" x14ac:dyDescent="0.25">
      <c r="B884" s="211" t="s">
        <v>518</v>
      </c>
      <c r="C884" s="336">
        <v>4195131.84</v>
      </c>
      <c r="D884" s="311">
        <v>3900032.97</v>
      </c>
      <c r="E884" s="311">
        <v>114573.04</v>
      </c>
      <c r="F884" s="311">
        <v>152951.32</v>
      </c>
      <c r="G884" s="311">
        <v>9505.49</v>
      </c>
      <c r="H884" s="311">
        <v>18069.03</v>
      </c>
      <c r="I884" s="311">
        <v>4195131.8499999996</v>
      </c>
      <c r="J884" s="306">
        <v>4195131.84</v>
      </c>
    </row>
    <row r="885" spans="2:10" x14ac:dyDescent="0.25">
      <c r="B885" s="211" t="s">
        <v>520</v>
      </c>
      <c r="C885" s="336">
        <v>20429.47</v>
      </c>
      <c r="D885" s="311">
        <v>18813.93</v>
      </c>
      <c r="E885" s="310">
        <v>848.06</v>
      </c>
      <c r="F885" s="310">
        <v>635</v>
      </c>
      <c r="G885" s="310">
        <v>43.71</v>
      </c>
      <c r="H885" s="310">
        <v>88.73</v>
      </c>
      <c r="I885" s="311">
        <v>20429.43</v>
      </c>
      <c r="J885" s="306">
        <v>20429.47</v>
      </c>
    </row>
    <row r="886" spans="2:10" ht="23.25" x14ac:dyDescent="0.25">
      <c r="B886" s="211" t="s">
        <v>522</v>
      </c>
      <c r="C886" s="337">
        <v>135267.85999999999</v>
      </c>
      <c r="D886" s="311">
        <v>122586.5</v>
      </c>
      <c r="E886" s="311">
        <v>8315.32</v>
      </c>
      <c r="F886" s="311">
        <v>3565.05</v>
      </c>
      <c r="G886" s="310">
        <v>250.05</v>
      </c>
      <c r="H886" s="310">
        <v>550.94000000000005</v>
      </c>
      <c r="I886" s="311">
        <v>135267.85999999999</v>
      </c>
      <c r="J886" s="306">
        <v>135267.85999999999</v>
      </c>
    </row>
    <row r="887" spans="2:10" ht="23.25" x14ac:dyDescent="0.25">
      <c r="B887" s="211" t="s">
        <v>524</v>
      </c>
      <c r="C887" s="336">
        <v>3848604</v>
      </c>
      <c r="D887" s="311">
        <v>3573261.62</v>
      </c>
      <c r="E887" s="311">
        <v>116895.85</v>
      </c>
      <c r="F887" s="311">
        <v>134328.09</v>
      </c>
      <c r="G887" s="311">
        <v>8476.41</v>
      </c>
      <c r="H887" s="311">
        <v>15642.05</v>
      </c>
      <c r="I887" s="311">
        <v>3848604.02</v>
      </c>
      <c r="J887" s="306">
        <v>3848604</v>
      </c>
    </row>
    <row r="888" spans="2:10" x14ac:dyDescent="0.25">
      <c r="B888" s="211" t="s">
        <v>526</v>
      </c>
      <c r="C888" s="336">
        <v>620000</v>
      </c>
      <c r="D888" s="311">
        <v>584594.54</v>
      </c>
      <c r="E888" s="311">
        <v>1681.56</v>
      </c>
      <c r="F888" s="311">
        <v>29942.81</v>
      </c>
      <c r="G888" s="311">
        <v>1521.97</v>
      </c>
      <c r="H888" s="311">
        <v>2259.11</v>
      </c>
      <c r="I888" s="311">
        <v>619999.99</v>
      </c>
      <c r="J888" s="306">
        <v>620000</v>
      </c>
    </row>
    <row r="889" spans="2:10" ht="23.25" x14ac:dyDescent="0.25">
      <c r="B889" s="211" t="s">
        <v>527</v>
      </c>
      <c r="C889" s="336">
        <v>1060713.72</v>
      </c>
      <c r="D889" s="311">
        <v>1001561.36</v>
      </c>
      <c r="E889" s="311">
        <v>3407.18</v>
      </c>
      <c r="F889" s="311">
        <v>48785.760000000002</v>
      </c>
      <c r="G889" s="311">
        <v>2802.19</v>
      </c>
      <c r="H889" s="311">
        <v>4157.22</v>
      </c>
      <c r="I889" s="311">
        <v>1060713.71</v>
      </c>
      <c r="J889" s="306">
        <v>1060713.72</v>
      </c>
    </row>
    <row r="890" spans="2:10" ht="23.25" x14ac:dyDescent="0.25">
      <c r="B890" s="211" t="s">
        <v>529</v>
      </c>
      <c r="C890" s="336">
        <v>2500000</v>
      </c>
      <c r="D890" s="311">
        <v>2325731.7799999998</v>
      </c>
      <c r="E890" s="311">
        <v>71923.73</v>
      </c>
      <c r="F890" s="311">
        <v>88175.95</v>
      </c>
      <c r="G890" s="311">
        <v>5613.46</v>
      </c>
      <c r="H890" s="311">
        <v>8555.09</v>
      </c>
      <c r="I890" s="311">
        <v>2500000.0099999998</v>
      </c>
      <c r="J890" s="306">
        <v>2500000</v>
      </c>
    </row>
    <row r="891" spans="2:10" ht="23.25" x14ac:dyDescent="0.25">
      <c r="B891" s="211" t="s">
        <v>531</v>
      </c>
      <c r="C891" s="336">
        <v>1740000</v>
      </c>
      <c r="D891" s="311">
        <v>1649132.24</v>
      </c>
      <c r="E891" s="311">
        <v>4961.54</v>
      </c>
      <c r="F891" s="311">
        <v>75387.78</v>
      </c>
      <c r="G891" s="311">
        <v>4779.29</v>
      </c>
      <c r="H891" s="311">
        <v>5739.15</v>
      </c>
      <c r="I891" s="311">
        <v>1740000</v>
      </c>
      <c r="J891" s="306">
        <v>1740000</v>
      </c>
    </row>
    <row r="892" spans="2:10" x14ac:dyDescent="0.25">
      <c r="B892" s="211" t="s">
        <v>533</v>
      </c>
      <c r="C892" s="336">
        <v>2400000</v>
      </c>
      <c r="D892" s="311">
        <v>2201748.14</v>
      </c>
      <c r="E892" s="311">
        <v>126771.02</v>
      </c>
      <c r="F892" s="311">
        <v>58591.51</v>
      </c>
      <c r="G892" s="311">
        <v>4056.02</v>
      </c>
      <c r="H892" s="311">
        <v>8833.2999999999993</v>
      </c>
      <c r="I892" s="311">
        <v>2399999.9900000002</v>
      </c>
      <c r="J892" s="306">
        <v>2400000</v>
      </c>
    </row>
    <row r="893" spans="2:10" ht="34.5" x14ac:dyDescent="0.25">
      <c r="B893" s="211" t="s">
        <v>535</v>
      </c>
      <c r="C893" s="336">
        <v>84333.33</v>
      </c>
      <c r="D893" s="311">
        <v>78573.22</v>
      </c>
      <c r="E893" s="311">
        <v>2166.8000000000002</v>
      </c>
      <c r="F893" s="311">
        <v>3060.68</v>
      </c>
      <c r="G893" s="310">
        <v>191.08</v>
      </c>
      <c r="H893" s="310">
        <v>341.55</v>
      </c>
      <c r="I893" s="311">
        <v>84333.33</v>
      </c>
      <c r="J893" s="306">
        <v>84333.33</v>
      </c>
    </row>
    <row r="894" spans="2:10" ht="23.25" x14ac:dyDescent="0.25">
      <c r="B894" s="211" t="s">
        <v>537</v>
      </c>
      <c r="C894" s="336">
        <v>1964285.72</v>
      </c>
      <c r="D894" s="311">
        <v>1824952.41</v>
      </c>
      <c r="E894" s="311">
        <v>66560.92</v>
      </c>
      <c r="F894" s="311">
        <v>61504.34</v>
      </c>
      <c r="G894" s="311">
        <v>4027.86</v>
      </c>
      <c r="H894" s="311">
        <v>7240.18</v>
      </c>
      <c r="I894" s="311">
        <v>1964285.71</v>
      </c>
      <c r="J894" s="306">
        <v>1964285.72</v>
      </c>
    </row>
    <row r="895" spans="2:10" x14ac:dyDescent="0.25">
      <c r="B895" s="211" t="s">
        <v>539</v>
      </c>
      <c r="C895" s="336">
        <v>288000</v>
      </c>
      <c r="D895" s="311">
        <v>267395.49</v>
      </c>
      <c r="E895" s="311">
        <v>8747.59</v>
      </c>
      <c r="F895" s="311">
        <v>10052.09</v>
      </c>
      <c r="G895" s="310">
        <v>634.32000000000005</v>
      </c>
      <c r="H895" s="311">
        <v>1170.53</v>
      </c>
      <c r="I895" s="311">
        <v>288000.02</v>
      </c>
      <c r="J895" s="306">
        <v>288000</v>
      </c>
    </row>
    <row r="896" spans="2:10" ht="34.5" x14ac:dyDescent="0.25">
      <c r="B896" s="211" t="s">
        <v>542</v>
      </c>
      <c r="C896" s="336">
        <v>210000</v>
      </c>
      <c r="D896" s="311">
        <v>194077.53</v>
      </c>
      <c r="E896" s="311">
        <v>7300.47</v>
      </c>
      <c r="F896" s="311">
        <v>7299.75</v>
      </c>
      <c r="G896" s="310">
        <v>437.47</v>
      </c>
      <c r="H896" s="310">
        <v>884.78</v>
      </c>
      <c r="I896" s="311">
        <v>210000</v>
      </c>
      <c r="J896" s="306">
        <v>210000</v>
      </c>
    </row>
    <row r="897" spans="2:10" ht="23.25" x14ac:dyDescent="0.25">
      <c r="B897" s="211" t="s">
        <v>544</v>
      </c>
      <c r="C897" s="336">
        <v>3929.46</v>
      </c>
      <c r="D897" s="311">
        <v>3696.59</v>
      </c>
      <c r="E897" s="310">
        <v>58.74</v>
      </c>
      <c r="F897" s="310">
        <v>150.13999999999999</v>
      </c>
      <c r="G897" s="310">
        <v>9.4700000000000006</v>
      </c>
      <c r="H897" s="310">
        <v>14.5</v>
      </c>
      <c r="I897" s="311">
        <v>3929.44</v>
      </c>
      <c r="J897" s="306">
        <v>3929.46</v>
      </c>
    </row>
    <row r="898" spans="2:10" ht="34.5" x14ac:dyDescent="0.25">
      <c r="B898" s="211" t="s">
        <v>545</v>
      </c>
      <c r="C898" s="336">
        <v>95495.93</v>
      </c>
      <c r="D898" s="311">
        <v>88552.4</v>
      </c>
      <c r="E898" s="311">
        <v>3062.42</v>
      </c>
      <c r="F898" s="311">
        <v>3275.87</v>
      </c>
      <c r="G898" s="310">
        <v>208.82</v>
      </c>
      <c r="H898" s="310">
        <v>396.4</v>
      </c>
      <c r="I898" s="311">
        <v>95495.91</v>
      </c>
      <c r="J898" s="306">
        <v>95495.93</v>
      </c>
    </row>
    <row r="899" spans="2:10" ht="23.25" x14ac:dyDescent="0.25">
      <c r="B899" s="211" t="s">
        <v>547</v>
      </c>
      <c r="C899" s="336">
        <v>539997.61</v>
      </c>
      <c r="D899" s="311">
        <v>509883.8</v>
      </c>
      <c r="E899" s="311">
        <v>1734.56</v>
      </c>
      <c r="F899" s="311">
        <v>24836.29</v>
      </c>
      <c r="G899" s="311">
        <v>1426.57</v>
      </c>
      <c r="H899" s="311">
        <v>2116.4</v>
      </c>
      <c r="I899" s="311">
        <v>539997.62</v>
      </c>
      <c r="J899" s="306">
        <v>539997.61</v>
      </c>
    </row>
    <row r="900" spans="2:10" x14ac:dyDescent="0.25">
      <c r="B900" s="211" t="s">
        <v>549</v>
      </c>
      <c r="C900" s="336">
        <v>8035.74</v>
      </c>
      <c r="D900" s="311">
        <v>7507.85</v>
      </c>
      <c r="E900" s="310">
        <v>175.75</v>
      </c>
      <c r="F900" s="310">
        <v>304.63</v>
      </c>
      <c r="G900" s="310">
        <v>18.34</v>
      </c>
      <c r="H900" s="310">
        <v>29.17</v>
      </c>
      <c r="I900" s="311">
        <v>8035.74</v>
      </c>
      <c r="J900" s="306">
        <v>8035.74</v>
      </c>
    </row>
    <row r="901" spans="2:10" x14ac:dyDescent="0.25">
      <c r="B901" s="211" t="s">
        <v>551</v>
      </c>
      <c r="C901" s="336">
        <v>2500000</v>
      </c>
      <c r="D901" s="311">
        <v>2360583.6</v>
      </c>
      <c r="E901" s="311">
        <v>8030.4</v>
      </c>
      <c r="F901" s="311">
        <v>114983.33</v>
      </c>
      <c r="G901" s="311">
        <v>6604.5</v>
      </c>
      <c r="H901" s="311">
        <v>9798.18</v>
      </c>
      <c r="I901" s="311">
        <v>2500000.0099999998</v>
      </c>
      <c r="J901" s="306">
        <v>2500000</v>
      </c>
    </row>
    <row r="902" spans="2:10" ht="23.25" x14ac:dyDescent="0.25">
      <c r="B902" s="211" t="s">
        <v>553</v>
      </c>
      <c r="C902" s="336">
        <v>4075000</v>
      </c>
      <c r="D902" s="311">
        <v>3762609.26</v>
      </c>
      <c r="E902" s="311">
        <v>167643.03</v>
      </c>
      <c r="F902" s="311">
        <v>122171.15</v>
      </c>
      <c r="G902" s="311">
        <v>7613.33</v>
      </c>
      <c r="H902" s="311">
        <v>14963.23</v>
      </c>
      <c r="I902" s="311">
        <v>4075000</v>
      </c>
      <c r="J902" s="306">
        <v>4075000</v>
      </c>
    </row>
    <row r="903" spans="2:10" x14ac:dyDescent="0.25">
      <c r="B903" s="206" t="s">
        <v>555</v>
      </c>
      <c r="C903" s="306">
        <v>47513.599999999999</v>
      </c>
      <c r="D903" s="306">
        <v>44306.3</v>
      </c>
      <c r="E903" s="306">
        <v>1153.95</v>
      </c>
      <c r="F903" s="306">
        <v>1747.7</v>
      </c>
      <c r="G903" s="309">
        <v>110.28</v>
      </c>
      <c r="H903" s="309">
        <v>195.38</v>
      </c>
      <c r="I903" s="306">
        <v>47513.599999999999</v>
      </c>
      <c r="J903" s="257">
        <f>C985</f>
        <v>47513.599999999999</v>
      </c>
    </row>
    <row r="904" spans="2:10" x14ac:dyDescent="0.25">
      <c r="B904" s="206" t="s">
        <v>557</v>
      </c>
      <c r="C904" s="306">
        <v>3517937.51</v>
      </c>
      <c r="D904" s="306">
        <v>3263828.07</v>
      </c>
      <c r="E904" s="306">
        <v>109955.39</v>
      </c>
      <c r="F904" s="306">
        <v>121933</v>
      </c>
      <c r="G904" s="306">
        <v>7742.03</v>
      </c>
      <c r="H904" s="306">
        <v>14479.03</v>
      </c>
      <c r="I904" s="306">
        <v>3517937.51</v>
      </c>
      <c r="J904" s="257">
        <f>C986</f>
        <v>3517937.51</v>
      </c>
    </row>
    <row r="905" spans="2:10" x14ac:dyDescent="0.25">
      <c r="B905" s="206" t="s">
        <v>559</v>
      </c>
      <c r="C905" s="306">
        <v>820089.31</v>
      </c>
      <c r="D905" s="306">
        <v>762016.74</v>
      </c>
      <c r="E905" s="306">
        <v>23707.26</v>
      </c>
      <c r="F905" s="306">
        <v>28891.55</v>
      </c>
      <c r="G905" s="306">
        <v>1903.04</v>
      </c>
      <c r="H905" s="306">
        <v>3570.74</v>
      </c>
      <c r="I905" s="306">
        <v>820089.31</v>
      </c>
      <c r="J905" s="257">
        <f>C987</f>
        <v>820089.31</v>
      </c>
    </row>
    <row r="906" spans="2:10" x14ac:dyDescent="0.25">
      <c r="B906" s="206" t="s">
        <v>561</v>
      </c>
      <c r="C906" s="306">
        <v>20352.37</v>
      </c>
      <c r="D906" s="306">
        <v>18855.150000000001</v>
      </c>
      <c r="E906" s="309">
        <v>672.09</v>
      </c>
      <c r="F906" s="309">
        <v>699.57</v>
      </c>
      <c r="G906" s="309">
        <v>44.25</v>
      </c>
      <c r="H906" s="309">
        <v>81.31</v>
      </c>
      <c r="I906" s="306">
        <v>20352.37</v>
      </c>
      <c r="J906" s="257">
        <f>C988</f>
        <v>20352.37</v>
      </c>
    </row>
    <row r="907" spans="2:10" x14ac:dyDescent="0.25">
      <c r="B907" s="206" t="s">
        <v>563</v>
      </c>
      <c r="C907" s="306">
        <v>2406729.2999999998</v>
      </c>
      <c r="D907" s="306">
        <v>2257551.86</v>
      </c>
      <c r="E907" s="306">
        <v>34267.78</v>
      </c>
      <c r="F907" s="306">
        <v>99003.69</v>
      </c>
      <c r="G907" s="306">
        <v>5728.3</v>
      </c>
      <c r="H907" s="306">
        <v>10177.69</v>
      </c>
      <c r="I907" s="306">
        <v>2406729.2999999998</v>
      </c>
      <c r="J907" s="257">
        <f>C983</f>
        <v>2406729.2999999998</v>
      </c>
    </row>
    <row r="908" spans="2:10" ht="26.25" x14ac:dyDescent="0.25">
      <c r="B908" s="206" t="s">
        <v>565</v>
      </c>
      <c r="C908" s="306">
        <v>3597662</v>
      </c>
      <c r="D908" s="306">
        <v>3374504.7</v>
      </c>
      <c r="E908" s="306">
        <v>60446.28</v>
      </c>
      <c r="F908" s="306">
        <v>140862.01</v>
      </c>
      <c r="G908" s="306">
        <v>8688.3700000000008</v>
      </c>
      <c r="H908" s="306">
        <v>13160.68</v>
      </c>
      <c r="I908" s="306">
        <v>3597662</v>
      </c>
      <c r="J908" s="257">
        <f>C984</f>
        <v>3597662</v>
      </c>
    </row>
    <row r="909" spans="2:10" x14ac:dyDescent="0.25">
      <c r="B909" s="206" t="s">
        <v>567</v>
      </c>
      <c r="C909" s="306">
        <v>25893769.640000001</v>
      </c>
      <c r="D909" s="306">
        <v>23999415.489999998</v>
      </c>
      <c r="E909" s="306">
        <v>865745.34</v>
      </c>
      <c r="F909" s="306">
        <v>870814.11</v>
      </c>
      <c r="G909" s="306">
        <v>54943.72</v>
      </c>
      <c r="H909" s="306">
        <v>102850.96</v>
      </c>
      <c r="I909" s="306">
        <v>25893769.640000001</v>
      </c>
      <c r="J909" s="260">
        <f>C947+C942</f>
        <v>26917050.649999999</v>
      </c>
    </row>
    <row r="910" spans="2:10" x14ac:dyDescent="0.25">
      <c r="B910" s="215" t="s">
        <v>569</v>
      </c>
      <c r="C910" s="307">
        <v>22063381.84</v>
      </c>
      <c r="D910" s="307">
        <v>20650422.890000001</v>
      </c>
      <c r="E910" s="307">
        <v>428050.6</v>
      </c>
      <c r="F910" s="307">
        <v>844915.38</v>
      </c>
      <c r="G910" s="307">
        <v>52533.599999999999</v>
      </c>
      <c r="H910" s="307">
        <v>87459.33</v>
      </c>
      <c r="I910" s="307">
        <v>22063381.84</v>
      </c>
    </row>
    <row r="911" spans="2:10" x14ac:dyDescent="0.25">
      <c r="B911" s="334" t="s">
        <v>442</v>
      </c>
      <c r="C911" s="308"/>
      <c r="D911" s="308"/>
      <c r="E911" s="308"/>
      <c r="F911" s="308"/>
      <c r="G911" s="308"/>
      <c r="H911" s="308"/>
      <c r="I911" s="308"/>
    </row>
    <row r="912" spans="2:10" x14ac:dyDescent="0.25">
      <c r="B912" s="206" t="s">
        <v>572</v>
      </c>
      <c r="C912" s="306">
        <v>5304869.8600000003</v>
      </c>
      <c r="D912" s="306">
        <v>4992712.18</v>
      </c>
      <c r="E912" s="306">
        <v>63410.28</v>
      </c>
      <c r="F912" s="306">
        <v>215706.7</v>
      </c>
      <c r="G912" s="306">
        <v>13165.64</v>
      </c>
      <c r="H912" s="306">
        <v>19875.05</v>
      </c>
      <c r="I912" s="306">
        <v>5304869.8600000003</v>
      </c>
      <c r="J912" s="257">
        <f>C1021</f>
        <v>5304869.8600000003</v>
      </c>
    </row>
    <row r="913" spans="2:10" x14ac:dyDescent="0.25">
      <c r="B913" s="206" t="s">
        <v>573</v>
      </c>
      <c r="C913" s="306">
        <v>16758511.98</v>
      </c>
      <c r="D913" s="306">
        <v>15657710.710000001</v>
      </c>
      <c r="E913" s="306">
        <v>364640.32</v>
      </c>
      <c r="F913" s="306">
        <v>629208.68999999994</v>
      </c>
      <c r="G913" s="306">
        <v>39367.96</v>
      </c>
      <c r="H913" s="306">
        <v>67584.28</v>
      </c>
      <c r="I913" s="306">
        <v>16758511.98</v>
      </c>
      <c r="J913" s="257">
        <f>C1022</f>
        <v>16758511.98</v>
      </c>
    </row>
    <row r="914" spans="2:10" x14ac:dyDescent="0.25">
      <c r="B914" s="338" t="s">
        <v>575</v>
      </c>
      <c r="C914" s="312">
        <v>1880507667.51</v>
      </c>
      <c r="D914" s="312">
        <v>1745960945.05</v>
      </c>
      <c r="E914" s="312">
        <v>57734031.630000003</v>
      </c>
      <c r="F914" s="312">
        <v>65094287.780000001</v>
      </c>
      <c r="G914" s="312">
        <v>4114471.78</v>
      </c>
      <c r="H914" s="312">
        <v>7603931.2599999998</v>
      </c>
      <c r="I914" s="312">
        <v>1880507667.51</v>
      </c>
    </row>
    <row r="915" spans="2:10" x14ac:dyDescent="0.25">
      <c r="B915"/>
      <c r="C915"/>
      <c r="D915"/>
    </row>
    <row r="916" spans="2:10" x14ac:dyDescent="0.25">
      <c r="B916"/>
      <c r="C916"/>
      <c r="D916"/>
    </row>
    <row r="917" spans="2:10" x14ac:dyDescent="0.25">
      <c r="B917" s="339" t="s">
        <v>775</v>
      </c>
      <c r="C917"/>
      <c r="D917"/>
    </row>
    <row r="918" spans="2:10" x14ac:dyDescent="0.25">
      <c r="B918" s="340" t="s">
        <v>776</v>
      </c>
      <c r="C918"/>
      <c r="D918"/>
    </row>
    <row r="919" spans="2:10" x14ac:dyDescent="0.25">
      <c r="B919" s="341" t="s">
        <v>777</v>
      </c>
      <c r="C919"/>
      <c r="D919"/>
    </row>
    <row r="920" spans="2:10" x14ac:dyDescent="0.25">
      <c r="B920" s="470" t="s">
        <v>778</v>
      </c>
      <c r="C920" s="470"/>
      <c r="D920" s="470"/>
    </row>
    <row r="921" spans="2:10" x14ac:dyDescent="0.25">
      <c r="B921" s="470" t="s">
        <v>779</v>
      </c>
      <c r="C921" s="470"/>
      <c r="D921" s="470"/>
    </row>
    <row r="922" spans="2:10" ht="15.75" thickBot="1" x14ac:dyDescent="0.3">
      <c r="B922"/>
      <c r="C922"/>
      <c r="D922"/>
    </row>
    <row r="923" spans="2:10" x14ac:dyDescent="0.25">
      <c r="B923" s="342" t="s">
        <v>780</v>
      </c>
      <c r="C923" s="343" t="s">
        <v>781</v>
      </c>
      <c r="D923" s="344" t="s">
        <v>782</v>
      </c>
    </row>
    <row r="924" spans="2:10" ht="15.75" thickBot="1" x14ac:dyDescent="0.3">
      <c r="B924" s="345"/>
      <c r="C924" s="346"/>
      <c r="D924" s="347"/>
    </row>
    <row r="925" spans="2:10" ht="15.75" thickBot="1" x14ac:dyDescent="0.3">
      <c r="B925" s="348" t="s">
        <v>783</v>
      </c>
      <c r="C925" s="349"/>
      <c r="D925" s="350"/>
    </row>
    <row r="926" spans="2:10" x14ac:dyDescent="0.25">
      <c r="B926" s="351">
        <v>5610</v>
      </c>
      <c r="C926" s="352"/>
      <c r="D926" s="353">
        <v>4580691420.2200003</v>
      </c>
    </row>
    <row r="927" spans="2:10" x14ac:dyDescent="0.25">
      <c r="B927" s="354" t="s">
        <v>784</v>
      </c>
      <c r="C927" s="352"/>
      <c r="D927" s="353">
        <v>4580691420.1999998</v>
      </c>
    </row>
    <row r="928" spans="2:10" x14ac:dyDescent="0.25">
      <c r="B928" s="354" t="s">
        <v>785</v>
      </c>
      <c r="C928" s="352"/>
      <c r="D928" s="355">
        <v>0.02</v>
      </c>
    </row>
    <row r="929" spans="2:4" x14ac:dyDescent="0.25">
      <c r="B929" s="351">
        <v>7110</v>
      </c>
      <c r="C929" s="356">
        <v>369465051.75999999</v>
      </c>
      <c r="D929" s="357"/>
    </row>
    <row r="930" spans="2:4" x14ac:dyDescent="0.25">
      <c r="B930" s="351">
        <v>7211</v>
      </c>
      <c r="C930" s="356">
        <v>1880507667.53</v>
      </c>
      <c r="D930" s="357"/>
    </row>
    <row r="931" spans="2:4" ht="15.75" thickBot="1" x14ac:dyDescent="0.3">
      <c r="B931" s="351">
        <v>7214</v>
      </c>
      <c r="C931" s="356">
        <v>2330718700.9299998</v>
      </c>
      <c r="D931" s="357"/>
    </row>
    <row r="932" spans="2:4" x14ac:dyDescent="0.25">
      <c r="B932" s="358" t="s">
        <v>786</v>
      </c>
      <c r="C932" s="359">
        <v>4580691420.2200003</v>
      </c>
      <c r="D932" s="360">
        <v>4580691420.2200003</v>
      </c>
    </row>
    <row r="933" spans="2:4" ht="15.75" thickBot="1" x14ac:dyDescent="0.3">
      <c r="B933" s="361" t="s">
        <v>787</v>
      </c>
      <c r="C933" s="362"/>
      <c r="D933" s="363"/>
    </row>
    <row r="934" spans="2:4" ht="15.75" thickBot="1" x14ac:dyDescent="0.3">
      <c r="B934"/>
      <c r="C934"/>
      <c r="D934"/>
    </row>
    <row r="935" spans="2:4" x14ac:dyDescent="0.25">
      <c r="B935" s="364" t="s">
        <v>691</v>
      </c>
      <c r="C935" s="365" t="s">
        <v>786</v>
      </c>
      <c r="D935"/>
    </row>
    <row r="936" spans="2:4" ht="15.75" thickBot="1" x14ac:dyDescent="0.3">
      <c r="B936" s="283"/>
      <c r="C936" s="366"/>
      <c r="D936"/>
    </row>
    <row r="937" spans="2:4" x14ac:dyDescent="0.25">
      <c r="B937" s="367" t="s">
        <v>693</v>
      </c>
      <c r="C937" s="368">
        <v>1131507009</v>
      </c>
      <c r="D937"/>
    </row>
    <row r="938" spans="2:4" x14ac:dyDescent="0.25">
      <c r="B938" s="286" t="s">
        <v>788</v>
      </c>
      <c r="C938" s="241">
        <v>44844156</v>
      </c>
      <c r="D938"/>
    </row>
    <row r="939" spans="2:4" ht="30" x14ac:dyDescent="0.25">
      <c r="B939" s="286" t="s">
        <v>789</v>
      </c>
      <c r="C939" s="241">
        <v>6774303</v>
      </c>
      <c r="D939"/>
    </row>
    <row r="940" spans="2:4" x14ac:dyDescent="0.25">
      <c r="B940" s="286"/>
      <c r="C940" s="369">
        <f>SUM(C937:C939)</f>
        <v>1183125468</v>
      </c>
      <c r="D940"/>
    </row>
    <row r="941" spans="2:4" x14ac:dyDescent="0.25">
      <c r="B941" s="286" t="s">
        <v>609</v>
      </c>
      <c r="C941" s="369">
        <v>79949056.870000005</v>
      </c>
      <c r="D941"/>
    </row>
    <row r="942" spans="2:4" x14ac:dyDescent="0.25">
      <c r="B942" s="286" t="s">
        <v>790</v>
      </c>
      <c r="C942" s="370">
        <v>1023281.01</v>
      </c>
      <c r="D942"/>
    </row>
    <row r="943" spans="2:4" x14ac:dyDescent="0.25">
      <c r="B943" s="286" t="s">
        <v>791</v>
      </c>
      <c r="C943" s="241">
        <v>721376.47</v>
      </c>
      <c r="D943"/>
    </row>
    <row r="944" spans="2:4" x14ac:dyDescent="0.25">
      <c r="B944" s="286" t="s">
        <v>792</v>
      </c>
      <c r="C944" s="241">
        <v>18307379.579999998</v>
      </c>
      <c r="D944"/>
    </row>
    <row r="945" spans="2:4" ht="30" x14ac:dyDescent="0.25">
      <c r="B945" s="286" t="s">
        <v>793</v>
      </c>
      <c r="C945" s="241">
        <v>3381996.06</v>
      </c>
      <c r="D945"/>
    </row>
    <row r="946" spans="2:4" x14ac:dyDescent="0.25">
      <c r="B946" s="286" t="s">
        <v>794</v>
      </c>
      <c r="C946" s="241">
        <v>2459736.52</v>
      </c>
      <c r="D946"/>
    </row>
    <row r="947" spans="2:4" x14ac:dyDescent="0.25">
      <c r="B947" s="286"/>
      <c r="C947" s="369">
        <f>SUM(C942:C946)</f>
        <v>25893769.640000001</v>
      </c>
      <c r="D947"/>
    </row>
    <row r="948" spans="2:4" x14ac:dyDescent="0.25">
      <c r="B948" s="371" t="s">
        <v>795</v>
      </c>
      <c r="C948" s="241">
        <v>46253.65</v>
      </c>
      <c r="D948"/>
    </row>
    <row r="949" spans="2:4" x14ac:dyDescent="0.25">
      <c r="B949" s="286" t="s">
        <v>796</v>
      </c>
      <c r="C949" s="241">
        <v>436630.49</v>
      </c>
      <c r="D949"/>
    </row>
    <row r="950" spans="2:4" x14ac:dyDescent="0.25">
      <c r="B950" s="286" t="s">
        <v>797</v>
      </c>
      <c r="C950" s="241">
        <v>846275.44</v>
      </c>
      <c r="D950"/>
    </row>
    <row r="951" spans="2:4" x14ac:dyDescent="0.25">
      <c r="B951" s="286"/>
      <c r="C951" s="369">
        <f>SUM(C948:C950)</f>
        <v>1329159.58</v>
      </c>
      <c r="D951"/>
    </row>
    <row r="952" spans="2:4" x14ac:dyDescent="0.25">
      <c r="B952" s="286" t="s">
        <v>798</v>
      </c>
      <c r="C952" s="241">
        <v>3274774.44</v>
      </c>
      <c r="D952"/>
    </row>
    <row r="953" spans="2:4" x14ac:dyDescent="0.25">
      <c r="B953" s="286" t="s">
        <v>799</v>
      </c>
      <c r="C953" s="241">
        <v>1296625.83</v>
      </c>
      <c r="D953"/>
    </row>
    <row r="954" spans="2:4" x14ac:dyDescent="0.25">
      <c r="B954" s="286" t="s">
        <v>800</v>
      </c>
      <c r="C954" s="241">
        <v>395989.84</v>
      </c>
      <c r="D954"/>
    </row>
    <row r="955" spans="2:4" x14ac:dyDescent="0.25">
      <c r="B955" s="286" t="s">
        <v>801</v>
      </c>
      <c r="C955" s="241">
        <v>2727.54</v>
      </c>
      <c r="D955"/>
    </row>
    <row r="956" spans="2:4" x14ac:dyDescent="0.25">
      <c r="B956" s="286" t="s">
        <v>802</v>
      </c>
      <c r="C956" s="241">
        <v>817711.81</v>
      </c>
      <c r="D956"/>
    </row>
    <row r="957" spans="2:4" x14ac:dyDescent="0.25">
      <c r="B957" s="286" t="s">
        <v>803</v>
      </c>
      <c r="C957" s="241">
        <v>52883.47</v>
      </c>
      <c r="D957"/>
    </row>
    <row r="958" spans="2:4" x14ac:dyDescent="0.25">
      <c r="B958" s="286" t="s">
        <v>804</v>
      </c>
      <c r="C958" s="241">
        <v>415125</v>
      </c>
      <c r="D958"/>
    </row>
    <row r="959" spans="2:4" ht="30" x14ac:dyDescent="0.25">
      <c r="B959" s="286" t="s">
        <v>805</v>
      </c>
      <c r="C959" s="241">
        <v>6817669.9400000004</v>
      </c>
      <c r="D959"/>
    </row>
    <row r="960" spans="2:4" x14ac:dyDescent="0.25">
      <c r="B960" s="286" t="s">
        <v>806</v>
      </c>
      <c r="C960" s="241">
        <v>2338690.88</v>
      </c>
      <c r="D960"/>
    </row>
    <row r="961" spans="2:4" x14ac:dyDescent="0.25">
      <c r="B961" s="286" t="s">
        <v>807</v>
      </c>
      <c r="C961" s="241">
        <v>1630035.69</v>
      </c>
      <c r="D961"/>
    </row>
    <row r="962" spans="2:4" x14ac:dyDescent="0.25">
      <c r="B962" s="286" t="s">
        <v>808</v>
      </c>
      <c r="C962" s="241">
        <v>1251154.31</v>
      </c>
      <c r="D962"/>
    </row>
    <row r="963" spans="2:4" x14ac:dyDescent="0.25">
      <c r="B963" s="286" t="s">
        <v>809</v>
      </c>
      <c r="C963" s="241">
        <v>122400.63</v>
      </c>
      <c r="D963"/>
    </row>
    <row r="964" spans="2:4" x14ac:dyDescent="0.25">
      <c r="B964" s="286" t="s">
        <v>810</v>
      </c>
      <c r="C964" s="241">
        <v>379363.86</v>
      </c>
      <c r="D964"/>
    </row>
    <row r="965" spans="2:4" x14ac:dyDescent="0.25">
      <c r="B965" s="286" t="s">
        <v>811</v>
      </c>
      <c r="C965" s="241">
        <v>849890.87</v>
      </c>
    </row>
    <row r="966" spans="2:4" x14ac:dyDescent="0.25">
      <c r="B966" s="286"/>
      <c r="C966" s="369">
        <f>SUM(C952:C965)</f>
        <v>19645044.109999999</v>
      </c>
    </row>
    <row r="967" spans="2:4" x14ac:dyDescent="0.25">
      <c r="B967" s="286" t="s">
        <v>812</v>
      </c>
      <c r="C967" s="241">
        <v>8458770.3200000003</v>
      </c>
    </row>
    <row r="968" spans="2:4" x14ac:dyDescent="0.25">
      <c r="B968" s="286" t="s">
        <v>813</v>
      </c>
      <c r="C968" s="241">
        <v>57556.02</v>
      </c>
    </row>
    <row r="969" spans="2:4" x14ac:dyDescent="0.25">
      <c r="B969" s="286" t="s">
        <v>814</v>
      </c>
      <c r="C969" s="241">
        <v>1852017.07</v>
      </c>
    </row>
    <row r="970" spans="2:4" x14ac:dyDescent="0.25">
      <c r="B970" s="286" t="s">
        <v>815</v>
      </c>
      <c r="C970" s="241">
        <v>331117.90000000002</v>
      </c>
    </row>
    <row r="971" spans="2:4" x14ac:dyDescent="0.25">
      <c r="B971" s="286" t="s">
        <v>816</v>
      </c>
      <c r="C971" s="241">
        <v>2475019.33</v>
      </c>
    </row>
    <row r="972" spans="2:4" x14ac:dyDescent="0.25">
      <c r="B972" s="286"/>
      <c r="C972" s="369">
        <f>SUM(C967:C971)</f>
        <v>13174480.640000001</v>
      </c>
    </row>
    <row r="973" spans="2:4" x14ac:dyDescent="0.25">
      <c r="B973" s="286" t="s">
        <v>817</v>
      </c>
      <c r="C973" s="241">
        <v>14181398.119999999</v>
      </c>
    </row>
    <row r="974" spans="2:4" ht="30" x14ac:dyDescent="0.25">
      <c r="B974" s="286" t="s">
        <v>818</v>
      </c>
      <c r="C974" s="241">
        <v>946875</v>
      </c>
    </row>
    <row r="975" spans="2:4" ht="30" x14ac:dyDescent="0.25">
      <c r="B975" s="286" t="s">
        <v>819</v>
      </c>
      <c r="C975" s="241">
        <v>2485941.41</v>
      </c>
    </row>
    <row r="976" spans="2:4" ht="30" x14ac:dyDescent="0.25">
      <c r="B976" s="286" t="s">
        <v>820</v>
      </c>
      <c r="C976" s="241">
        <v>459308.79999999999</v>
      </c>
    </row>
    <row r="977" spans="2:3" ht="30" x14ac:dyDescent="0.25">
      <c r="B977" s="286" t="s">
        <v>821</v>
      </c>
      <c r="C977" s="241">
        <v>3091428.57</v>
      </c>
    </row>
    <row r="978" spans="2:3" x14ac:dyDescent="0.25">
      <c r="B978" s="286"/>
      <c r="C978" s="369">
        <f>SUM(C973:C977)</f>
        <v>21164951.899999999</v>
      </c>
    </row>
    <row r="979" spans="2:3" x14ac:dyDescent="0.25">
      <c r="B979" s="286" t="s">
        <v>822</v>
      </c>
      <c r="C979" s="369">
        <v>11290000</v>
      </c>
    </row>
    <row r="980" spans="2:3" x14ac:dyDescent="0.25">
      <c r="B980" s="286" t="s">
        <v>696</v>
      </c>
      <c r="C980" s="369">
        <v>7256537.04</v>
      </c>
    </row>
    <row r="981" spans="2:3" x14ac:dyDescent="0.25">
      <c r="B981" s="286" t="s">
        <v>823</v>
      </c>
      <c r="C981" s="369">
        <v>14379.96</v>
      </c>
    </row>
    <row r="982" spans="2:3" x14ac:dyDescent="0.25">
      <c r="B982" s="286" t="s">
        <v>694</v>
      </c>
      <c r="C982" s="369">
        <v>27522856.82</v>
      </c>
    </row>
    <row r="983" spans="2:3" x14ac:dyDescent="0.25">
      <c r="B983" s="286" t="s">
        <v>695</v>
      </c>
      <c r="C983" s="369">
        <v>2406729.2999999998</v>
      </c>
    </row>
    <row r="984" spans="2:3" ht="30" x14ac:dyDescent="0.25">
      <c r="B984" s="286" t="s">
        <v>824</v>
      </c>
      <c r="C984" s="369">
        <v>3597662</v>
      </c>
    </row>
    <row r="985" spans="2:3" x14ac:dyDescent="0.25">
      <c r="B985" s="286" t="s">
        <v>825</v>
      </c>
      <c r="C985" s="369">
        <v>47513.599999999999</v>
      </c>
    </row>
    <row r="986" spans="2:3" x14ac:dyDescent="0.25">
      <c r="B986" s="286" t="s">
        <v>826</v>
      </c>
      <c r="C986" s="369">
        <v>3517937.51</v>
      </c>
    </row>
    <row r="987" spans="2:3" x14ac:dyDescent="0.25">
      <c r="B987" s="286" t="s">
        <v>827</v>
      </c>
      <c r="C987" s="369">
        <v>820089.31</v>
      </c>
    </row>
    <row r="988" spans="2:3" x14ac:dyDescent="0.25">
      <c r="B988" s="286" t="s">
        <v>828</v>
      </c>
      <c r="C988" s="369">
        <v>20352.37</v>
      </c>
    </row>
    <row r="989" spans="2:3" x14ac:dyDescent="0.25">
      <c r="B989" s="286"/>
      <c r="C989" s="369"/>
    </row>
    <row r="990" spans="2:3" x14ac:dyDescent="0.25">
      <c r="B990" s="286" t="s">
        <v>829</v>
      </c>
      <c r="C990" s="241">
        <v>1775518.87</v>
      </c>
    </row>
    <row r="991" spans="2:3" x14ac:dyDescent="0.25">
      <c r="B991" s="286" t="s">
        <v>830</v>
      </c>
      <c r="C991" s="241">
        <v>1369475.82</v>
      </c>
    </row>
    <row r="992" spans="2:3" x14ac:dyDescent="0.25">
      <c r="B992" s="286" t="s">
        <v>831</v>
      </c>
      <c r="C992" s="241">
        <v>631504.12</v>
      </c>
    </row>
    <row r="993" spans="2:3" x14ac:dyDescent="0.25">
      <c r="B993" s="286" t="s">
        <v>832</v>
      </c>
      <c r="C993" s="241">
        <v>22950</v>
      </c>
    </row>
    <row r="994" spans="2:3" x14ac:dyDescent="0.25">
      <c r="B994" s="286" t="s">
        <v>833</v>
      </c>
      <c r="C994" s="241">
        <v>11887287</v>
      </c>
    </row>
    <row r="995" spans="2:3" x14ac:dyDescent="0.25">
      <c r="B995" s="286"/>
      <c r="C995" s="369">
        <f>SUM(C990:C994)</f>
        <v>15686735.810000001</v>
      </c>
    </row>
    <row r="996" spans="2:3" x14ac:dyDescent="0.25">
      <c r="B996" s="286" t="s">
        <v>834</v>
      </c>
      <c r="C996" s="241">
        <v>399795.9</v>
      </c>
    </row>
    <row r="997" spans="2:3" ht="30" x14ac:dyDescent="0.25">
      <c r="B997" s="286" t="s">
        <v>835</v>
      </c>
      <c r="C997" s="241">
        <v>795272.53</v>
      </c>
    </row>
    <row r="998" spans="2:3" x14ac:dyDescent="0.25">
      <c r="B998" s="286" t="s">
        <v>836</v>
      </c>
      <c r="C998" s="241">
        <v>23810.71</v>
      </c>
    </row>
    <row r="999" spans="2:3" x14ac:dyDescent="0.25">
      <c r="B999" s="286" t="s">
        <v>697</v>
      </c>
      <c r="C999" s="241">
        <v>89010.23</v>
      </c>
    </row>
    <row r="1000" spans="2:3" x14ac:dyDescent="0.25">
      <c r="B1000" s="286"/>
      <c r="C1000" s="369">
        <f>SUM(C996:C999)</f>
        <v>1307889.3700000001</v>
      </c>
    </row>
    <row r="1001" spans="2:3" x14ac:dyDescent="0.25">
      <c r="B1001" s="286" t="s">
        <v>837</v>
      </c>
      <c r="C1001" s="241">
        <v>1386225</v>
      </c>
    </row>
    <row r="1002" spans="2:3" x14ac:dyDescent="0.25">
      <c r="B1002" s="286" t="s">
        <v>838</v>
      </c>
      <c r="C1002" s="241">
        <v>30240.799999999999</v>
      </c>
    </row>
    <row r="1003" spans="2:3" x14ac:dyDescent="0.25">
      <c r="B1003" s="286" t="s">
        <v>839</v>
      </c>
      <c r="C1003" s="241">
        <v>10111079.390000001</v>
      </c>
    </row>
    <row r="1004" spans="2:3" x14ac:dyDescent="0.25">
      <c r="B1004" s="286" t="s">
        <v>840</v>
      </c>
      <c r="C1004" s="241">
        <v>371173.71</v>
      </c>
    </row>
    <row r="1005" spans="2:3" x14ac:dyDescent="0.25">
      <c r="B1005" s="286" t="s">
        <v>841</v>
      </c>
      <c r="C1005" s="241">
        <v>3161921.44</v>
      </c>
    </row>
    <row r="1006" spans="2:3" x14ac:dyDescent="0.25">
      <c r="B1006" s="286" t="s">
        <v>842</v>
      </c>
      <c r="C1006" s="241">
        <v>145279</v>
      </c>
    </row>
    <row r="1007" spans="2:3" x14ac:dyDescent="0.25">
      <c r="B1007" s="286"/>
      <c r="C1007" s="369">
        <f>SUM(C1001:C1006)</f>
        <v>15205919.34</v>
      </c>
    </row>
    <row r="1008" spans="2:3" x14ac:dyDescent="0.25">
      <c r="B1008" s="286" t="s">
        <v>843</v>
      </c>
      <c r="C1008" s="370">
        <v>1678874</v>
      </c>
    </row>
    <row r="1009" spans="2:3" x14ac:dyDescent="0.25">
      <c r="B1009" s="286" t="s">
        <v>844</v>
      </c>
      <c r="C1009" s="370">
        <v>88035891.959999993</v>
      </c>
    </row>
    <row r="1010" spans="2:3" x14ac:dyDescent="0.25">
      <c r="B1010" s="286" t="s">
        <v>845</v>
      </c>
      <c r="C1010" s="370">
        <v>6479079</v>
      </c>
    </row>
    <row r="1011" spans="2:3" x14ac:dyDescent="0.25">
      <c r="B1011" s="286" t="s">
        <v>846</v>
      </c>
      <c r="C1011" s="370">
        <v>42831565</v>
      </c>
    </row>
    <row r="1012" spans="2:3" x14ac:dyDescent="0.25">
      <c r="B1012" s="286" t="s">
        <v>847</v>
      </c>
      <c r="C1012" s="370">
        <v>669125</v>
      </c>
    </row>
    <row r="1013" spans="2:3" x14ac:dyDescent="0.25">
      <c r="B1013" s="286" t="s">
        <v>848</v>
      </c>
      <c r="C1013" s="370">
        <v>9202468</v>
      </c>
    </row>
    <row r="1014" spans="2:3" ht="30" x14ac:dyDescent="0.25">
      <c r="B1014" s="286" t="s">
        <v>849</v>
      </c>
      <c r="C1014" s="370">
        <v>46370718</v>
      </c>
    </row>
    <row r="1015" spans="2:3" x14ac:dyDescent="0.25">
      <c r="B1015" s="286" t="s">
        <v>850</v>
      </c>
      <c r="C1015" s="370">
        <v>151500</v>
      </c>
    </row>
    <row r="1016" spans="2:3" ht="30" x14ac:dyDescent="0.25">
      <c r="B1016" s="286" t="s">
        <v>851</v>
      </c>
      <c r="C1016" s="370">
        <v>419465</v>
      </c>
    </row>
    <row r="1017" spans="2:3" x14ac:dyDescent="0.25">
      <c r="B1017" s="286"/>
      <c r="C1017" s="369">
        <f>SUM(C1008:C1016)</f>
        <v>195838685.96000001</v>
      </c>
    </row>
    <row r="1018" spans="2:3" x14ac:dyDescent="0.25">
      <c r="B1018" s="286" t="s">
        <v>852</v>
      </c>
      <c r="C1018" s="369">
        <v>87794537.090000004</v>
      </c>
    </row>
    <row r="1019" spans="2:3" ht="30" x14ac:dyDescent="0.25">
      <c r="B1019" s="286" t="s">
        <v>853</v>
      </c>
      <c r="C1019" s="369">
        <v>106615998</v>
      </c>
    </row>
    <row r="1020" spans="2:3" ht="30" x14ac:dyDescent="0.25">
      <c r="B1020" s="286" t="s">
        <v>854</v>
      </c>
      <c r="C1020" s="369">
        <v>1498850</v>
      </c>
    </row>
    <row r="1021" spans="2:3" x14ac:dyDescent="0.25">
      <c r="B1021" s="286" t="s">
        <v>855</v>
      </c>
      <c r="C1021" s="369">
        <v>5304869.8600000003</v>
      </c>
    </row>
    <row r="1022" spans="2:3" x14ac:dyDescent="0.25">
      <c r="B1022" s="286" t="s">
        <v>856</v>
      </c>
      <c r="C1022" s="369">
        <v>16758511.98</v>
      </c>
    </row>
    <row r="1023" spans="2:3" x14ac:dyDescent="0.25">
      <c r="B1023" s="286" t="s">
        <v>618</v>
      </c>
      <c r="C1023" s="369">
        <v>22201339.350000001</v>
      </c>
    </row>
    <row r="1024" spans="2:3" ht="30.75" thickBot="1" x14ac:dyDescent="0.3">
      <c r="B1024" s="286" t="s">
        <v>624</v>
      </c>
      <c r="C1024" s="369">
        <v>11518342.119999999</v>
      </c>
    </row>
    <row r="1025" spans="2:3" ht="15.75" thickBot="1" x14ac:dyDescent="0.3">
      <c r="B1025" s="289" t="s">
        <v>630</v>
      </c>
      <c r="C1025" s="290"/>
    </row>
    <row r="1026" spans="2:3" x14ac:dyDescent="0.25">
      <c r="B1026" s="289" t="s">
        <v>633</v>
      </c>
      <c r="C1026" s="290" t="s">
        <v>857</v>
      </c>
    </row>
    <row r="1029" spans="2:3" x14ac:dyDescent="0.25">
      <c r="B1029" s="372" t="s">
        <v>328</v>
      </c>
      <c r="C1029" s="471">
        <v>7211</v>
      </c>
    </row>
    <row r="1030" spans="2:3" x14ac:dyDescent="0.25">
      <c r="B1030"/>
      <c r="C1030" s="471"/>
    </row>
    <row r="1031" spans="2:3" ht="30" x14ac:dyDescent="0.25">
      <c r="B1031" s="328" t="s">
        <v>858</v>
      </c>
      <c r="C1031" s="308"/>
    </row>
    <row r="1032" spans="2:3" ht="45" x14ac:dyDescent="0.25">
      <c r="B1032" s="328" t="s">
        <v>859</v>
      </c>
      <c r="C1032" s="306">
        <v>84333.33</v>
      </c>
    </row>
    <row r="1033" spans="2:3" ht="60" x14ac:dyDescent="0.25">
      <c r="B1033" s="328" t="s">
        <v>860</v>
      </c>
      <c r="C1033" s="306">
        <v>95495.93</v>
      </c>
    </row>
    <row r="1034" spans="2:3" ht="45" x14ac:dyDescent="0.25">
      <c r="B1034" s="328" t="s">
        <v>861</v>
      </c>
      <c r="C1034" s="306">
        <v>3848604</v>
      </c>
    </row>
    <row r="1035" spans="2:3" x14ac:dyDescent="0.25">
      <c r="B1035" s="328" t="s">
        <v>862</v>
      </c>
      <c r="C1035" s="308"/>
    </row>
    <row r="1036" spans="2:3" x14ac:dyDescent="0.25">
      <c r="B1036" s="328" t="s">
        <v>863</v>
      </c>
      <c r="C1036" s="306">
        <v>288000</v>
      </c>
    </row>
    <row r="1037" spans="2:3" x14ac:dyDescent="0.25">
      <c r="B1037" s="328" t="s">
        <v>864</v>
      </c>
      <c r="C1037" s="306">
        <v>4195131.84</v>
      </c>
    </row>
    <row r="1038" spans="2:3" ht="30" x14ac:dyDescent="0.25">
      <c r="B1038" s="328" t="s">
        <v>865</v>
      </c>
      <c r="C1038" s="306">
        <v>135267.85999999999</v>
      </c>
    </row>
    <row r="1039" spans="2:3" x14ac:dyDescent="0.25">
      <c r="B1039" s="328" t="s">
        <v>866</v>
      </c>
      <c r="C1039" s="306">
        <v>20429.47</v>
      </c>
    </row>
    <row r="1040" spans="2:3" x14ac:dyDescent="0.25">
      <c r="B1040" s="328" t="s">
        <v>867</v>
      </c>
      <c r="C1040" s="308"/>
    </row>
    <row r="1041" spans="2:3" ht="30" x14ac:dyDescent="0.25">
      <c r="B1041" s="328" t="s">
        <v>868</v>
      </c>
      <c r="C1041" s="306">
        <v>1964285.72</v>
      </c>
    </row>
    <row r="1042" spans="2:3" ht="30" x14ac:dyDescent="0.25">
      <c r="B1042" s="328" t="s">
        <v>869</v>
      </c>
      <c r="C1042" s="306">
        <v>1226400</v>
      </c>
    </row>
    <row r="1043" spans="2:3" x14ac:dyDescent="0.25">
      <c r="B1043" s="328" t="s">
        <v>870</v>
      </c>
      <c r="C1043" s="306">
        <v>620000</v>
      </c>
    </row>
    <row r="1044" spans="2:3" x14ac:dyDescent="0.25">
      <c r="B1044" s="328" t="s">
        <v>871</v>
      </c>
      <c r="C1044" s="308"/>
    </row>
    <row r="1045" spans="2:3" ht="45" x14ac:dyDescent="0.25">
      <c r="B1045" s="328" t="s">
        <v>872</v>
      </c>
      <c r="C1045" s="306">
        <v>210000</v>
      </c>
    </row>
    <row r="1046" spans="2:3" x14ac:dyDescent="0.25">
      <c r="B1046" s="328" t="s">
        <v>873</v>
      </c>
      <c r="C1046" s="308"/>
    </row>
    <row r="1047" spans="2:3" x14ac:dyDescent="0.25">
      <c r="B1047" s="328" t="s">
        <v>874</v>
      </c>
      <c r="C1047" s="306">
        <v>7232.14</v>
      </c>
    </row>
    <row r="1048" spans="2:3" ht="45" x14ac:dyDescent="0.25">
      <c r="B1048" s="328" t="s">
        <v>875</v>
      </c>
      <c r="C1048" s="308"/>
    </row>
    <row r="1049" spans="2:3" ht="45" x14ac:dyDescent="0.25">
      <c r="B1049" s="328" t="s">
        <v>876</v>
      </c>
      <c r="C1049" s="306">
        <v>2500000</v>
      </c>
    </row>
    <row r="1050" spans="2:3" x14ac:dyDescent="0.25">
      <c r="B1050" s="328" t="s">
        <v>877</v>
      </c>
      <c r="C1050" s="306">
        <v>8035.74</v>
      </c>
    </row>
    <row r="1051" spans="2:3" ht="30" x14ac:dyDescent="0.25">
      <c r="B1051" s="328" t="s">
        <v>878</v>
      </c>
      <c r="C1051" s="306">
        <v>1740000</v>
      </c>
    </row>
    <row r="1052" spans="2:3" ht="30" x14ac:dyDescent="0.25">
      <c r="B1052" s="328" t="s">
        <v>879</v>
      </c>
      <c r="C1052" s="306">
        <v>539997.61</v>
      </c>
    </row>
    <row r="1053" spans="2:3" ht="30" x14ac:dyDescent="0.25">
      <c r="B1053" s="328" t="s">
        <v>880</v>
      </c>
      <c r="C1053" s="306">
        <v>1060713.72</v>
      </c>
    </row>
    <row r="1054" spans="2:3" x14ac:dyDescent="0.25">
      <c r="B1054" s="328" t="s">
        <v>881</v>
      </c>
      <c r="C1054" s="306">
        <v>2500000</v>
      </c>
    </row>
    <row r="1055" spans="2:3" ht="30" x14ac:dyDescent="0.25">
      <c r="B1055" s="328" t="s">
        <v>882</v>
      </c>
      <c r="C1055" s="306">
        <v>4075000</v>
      </c>
    </row>
    <row r="1056" spans="2:3" ht="30" x14ac:dyDescent="0.25">
      <c r="B1056" s="328" t="s">
        <v>883</v>
      </c>
      <c r="C1056" s="308"/>
    </row>
    <row r="1057" spans="2:9" ht="30" x14ac:dyDescent="0.25">
      <c r="B1057" s="328" t="s">
        <v>884</v>
      </c>
      <c r="C1057" s="306">
        <v>3929.46</v>
      </c>
    </row>
    <row r="1058" spans="2:9" x14ac:dyDescent="0.25">
      <c r="B1058" s="328" t="s">
        <v>885</v>
      </c>
      <c r="C1058" s="306">
        <v>2400000</v>
      </c>
    </row>
    <row r="1059" spans="2:9" x14ac:dyDescent="0.25">
      <c r="C1059" s="373">
        <f>SUM(C1032:C1058)</f>
        <v>27522856.82</v>
      </c>
    </row>
    <row r="1065" spans="2:9" x14ac:dyDescent="0.25">
      <c r="B1065" s="222" t="s">
        <v>768</v>
      </c>
      <c r="C1065" s="187" t="s">
        <v>886</v>
      </c>
      <c r="D1065"/>
      <c r="H1065" s="184" t="s">
        <v>887</v>
      </c>
    </row>
    <row r="1066" spans="2:9" x14ac:dyDescent="0.25">
      <c r="B1066"/>
      <c r="C1066"/>
      <c r="D1066"/>
    </row>
    <row r="1067" spans="2:9" ht="25.5" x14ac:dyDescent="0.25">
      <c r="B1067" s="329"/>
      <c r="C1067" s="330">
        <v>7211</v>
      </c>
      <c r="D1067" s="304" t="s">
        <v>430</v>
      </c>
      <c r="E1067" s="304" t="s">
        <v>663</v>
      </c>
      <c r="F1067" s="304" t="s">
        <v>729</v>
      </c>
      <c r="G1067" s="304" t="s">
        <v>771</v>
      </c>
      <c r="H1067" s="304" t="s">
        <v>772</v>
      </c>
      <c r="I1067" s="331" t="s">
        <v>773</v>
      </c>
    </row>
    <row r="1068" spans="2:9" x14ac:dyDescent="0.25">
      <c r="B1068" s="305">
        <v>1</v>
      </c>
      <c r="C1068" s="305">
        <v>2</v>
      </c>
      <c r="D1068" s="305">
        <v>3</v>
      </c>
      <c r="E1068" s="305">
        <v>4</v>
      </c>
      <c r="F1068" s="305">
        <v>5</v>
      </c>
      <c r="G1068" s="305">
        <v>6</v>
      </c>
      <c r="H1068" s="305">
        <v>7</v>
      </c>
      <c r="I1068" s="305">
        <v>8</v>
      </c>
    </row>
    <row r="1069" spans="2:9" ht="26.25" x14ac:dyDescent="0.25">
      <c r="B1069" s="206" t="s">
        <v>433</v>
      </c>
      <c r="C1069" s="306">
        <v>102079623</v>
      </c>
      <c r="D1069" s="306">
        <v>96250306.920000002</v>
      </c>
      <c r="E1069" s="306">
        <v>276860.34999999998</v>
      </c>
      <c r="F1069" s="306">
        <v>4929921.0999999996</v>
      </c>
      <c r="G1069" s="306">
        <v>250584.04</v>
      </c>
      <c r="H1069" s="306">
        <v>371950.58</v>
      </c>
      <c r="I1069" s="306">
        <v>102079623</v>
      </c>
    </row>
    <row r="1070" spans="2:9" x14ac:dyDescent="0.25">
      <c r="B1070" s="206" t="s">
        <v>434</v>
      </c>
      <c r="C1070" s="306">
        <v>6912380.7999999998</v>
      </c>
      <c r="D1070" s="306">
        <v>6517645.29</v>
      </c>
      <c r="E1070" s="306">
        <v>18747.759999999998</v>
      </c>
      <c r="F1070" s="306">
        <v>333832.46000000002</v>
      </c>
      <c r="G1070" s="306">
        <v>16968.439999999999</v>
      </c>
      <c r="H1070" s="306">
        <v>25186.85</v>
      </c>
      <c r="I1070" s="306">
        <v>6912380.7999999998</v>
      </c>
    </row>
    <row r="1071" spans="2:9" x14ac:dyDescent="0.25">
      <c r="B1071" s="206" t="s">
        <v>435</v>
      </c>
      <c r="C1071" s="306">
        <v>1884445.24</v>
      </c>
      <c r="D1071" s="306">
        <v>1776832.9</v>
      </c>
      <c r="E1071" s="306">
        <v>5110.99</v>
      </c>
      <c r="F1071" s="306">
        <v>91009.02</v>
      </c>
      <c r="G1071" s="306">
        <v>4625.92</v>
      </c>
      <c r="H1071" s="306">
        <v>6866.41</v>
      </c>
      <c r="I1071" s="306">
        <v>1884445.24</v>
      </c>
    </row>
    <row r="1072" spans="2:9" x14ac:dyDescent="0.25">
      <c r="B1072" s="206" t="s">
        <v>436</v>
      </c>
      <c r="C1072" s="306">
        <v>1009160.5</v>
      </c>
      <c r="D1072" s="306">
        <v>951531.8</v>
      </c>
      <c r="E1072" s="306">
        <v>2737.05</v>
      </c>
      <c r="F1072" s="306">
        <v>48737.27</v>
      </c>
      <c r="G1072" s="306">
        <v>2477.2800000000002</v>
      </c>
      <c r="H1072" s="306">
        <v>3677.11</v>
      </c>
      <c r="I1072" s="306">
        <v>1009160.5</v>
      </c>
    </row>
    <row r="1073" spans="2:9" x14ac:dyDescent="0.25">
      <c r="B1073" s="206" t="s">
        <v>438</v>
      </c>
      <c r="C1073" s="306">
        <v>1597081.27</v>
      </c>
      <c r="D1073" s="306">
        <v>1505879.02</v>
      </c>
      <c r="E1073" s="306">
        <v>4331.6000000000004</v>
      </c>
      <c r="F1073" s="306">
        <v>77130.820000000007</v>
      </c>
      <c r="G1073" s="306">
        <v>3920.5</v>
      </c>
      <c r="H1073" s="306">
        <v>5819.33</v>
      </c>
      <c r="I1073" s="306">
        <v>1597081.27</v>
      </c>
    </row>
    <row r="1074" spans="2:9" x14ac:dyDescent="0.25">
      <c r="B1074" s="215" t="s">
        <v>440</v>
      </c>
      <c r="C1074" s="307">
        <v>3447193</v>
      </c>
      <c r="D1074" s="307">
        <v>3250339.04</v>
      </c>
      <c r="E1074" s="307">
        <v>9349.48</v>
      </c>
      <c r="F1074" s="307">
        <v>166481.70000000001</v>
      </c>
      <c r="G1074" s="307">
        <v>8462.1299999999992</v>
      </c>
      <c r="H1074" s="307">
        <v>12560.64</v>
      </c>
      <c r="I1074" s="307">
        <v>3447193</v>
      </c>
    </row>
    <row r="1075" spans="2:9" x14ac:dyDescent="0.25">
      <c r="B1075" s="334" t="s">
        <v>442</v>
      </c>
      <c r="C1075" s="308"/>
      <c r="D1075" s="308"/>
      <c r="E1075" s="308"/>
      <c r="F1075" s="308"/>
      <c r="G1075" s="308"/>
      <c r="H1075" s="308"/>
      <c r="I1075" s="308"/>
    </row>
    <row r="1076" spans="2:9" x14ac:dyDescent="0.25">
      <c r="B1076" s="206" t="s">
        <v>450</v>
      </c>
      <c r="C1076" s="306">
        <v>3409318</v>
      </c>
      <c r="D1076" s="306">
        <v>3214626.92</v>
      </c>
      <c r="E1076" s="306">
        <v>9246.75</v>
      </c>
      <c r="F1076" s="306">
        <v>164652.54</v>
      </c>
      <c r="G1076" s="306">
        <v>8369.16</v>
      </c>
      <c r="H1076" s="306">
        <v>12422.63</v>
      </c>
      <c r="I1076" s="306">
        <v>3409318</v>
      </c>
    </row>
    <row r="1077" spans="2:9" x14ac:dyDescent="0.25">
      <c r="B1077" s="206" t="s">
        <v>456</v>
      </c>
      <c r="C1077" s="306">
        <v>37875</v>
      </c>
      <c r="D1077" s="306">
        <v>35712.129999999997</v>
      </c>
      <c r="E1077" s="309">
        <v>102.72</v>
      </c>
      <c r="F1077" s="306">
        <v>1829.17</v>
      </c>
      <c r="G1077" s="309">
        <v>92.98</v>
      </c>
      <c r="H1077" s="309">
        <v>138.01</v>
      </c>
      <c r="I1077" s="306">
        <v>37875</v>
      </c>
    </row>
    <row r="1078" spans="2:9" x14ac:dyDescent="0.25">
      <c r="B1078" s="206" t="s">
        <v>462</v>
      </c>
      <c r="C1078" s="306">
        <v>942901.88</v>
      </c>
      <c r="D1078" s="306">
        <v>889056.92</v>
      </c>
      <c r="E1078" s="306">
        <v>2557.34</v>
      </c>
      <c r="F1078" s="306">
        <v>45537.31</v>
      </c>
      <c r="G1078" s="306">
        <v>2314.63</v>
      </c>
      <c r="H1078" s="306">
        <v>3435.68</v>
      </c>
      <c r="I1078" s="306">
        <v>942901.88</v>
      </c>
    </row>
    <row r="1079" spans="2:9" x14ac:dyDescent="0.25">
      <c r="B1079" s="215" t="s">
        <v>466</v>
      </c>
      <c r="C1079" s="307">
        <v>728974.09</v>
      </c>
      <c r="D1079" s="307">
        <v>687345.6</v>
      </c>
      <c r="E1079" s="307">
        <v>1977.12</v>
      </c>
      <c r="F1079" s="307">
        <v>35205.699999999997</v>
      </c>
      <c r="G1079" s="307">
        <v>1789.48</v>
      </c>
      <c r="H1079" s="307">
        <v>2656.18</v>
      </c>
      <c r="I1079" s="307">
        <v>728974.09</v>
      </c>
    </row>
    <row r="1080" spans="2:9" x14ac:dyDescent="0.25">
      <c r="B1080" s="334" t="s">
        <v>442</v>
      </c>
      <c r="C1080" s="308"/>
      <c r="D1080" s="308"/>
      <c r="E1080" s="308"/>
      <c r="F1080" s="308"/>
      <c r="G1080" s="308"/>
      <c r="H1080" s="308"/>
      <c r="I1080" s="308"/>
    </row>
    <row r="1081" spans="2:9" x14ac:dyDescent="0.25">
      <c r="B1081" s="206" t="s">
        <v>470</v>
      </c>
      <c r="C1081" s="306">
        <v>674157.81</v>
      </c>
      <c r="D1081" s="306">
        <v>635659.64</v>
      </c>
      <c r="E1081" s="306">
        <v>1828.45</v>
      </c>
      <c r="F1081" s="306">
        <v>32558.36</v>
      </c>
      <c r="G1081" s="306">
        <v>1654.92</v>
      </c>
      <c r="H1081" s="306">
        <v>2456.4499999999998</v>
      </c>
      <c r="I1081" s="306">
        <v>674157.81</v>
      </c>
    </row>
    <row r="1082" spans="2:9" x14ac:dyDescent="0.25">
      <c r="B1082" s="206" t="s">
        <v>476</v>
      </c>
      <c r="C1082" s="306">
        <v>26522.9</v>
      </c>
      <c r="D1082" s="306">
        <v>25008.29</v>
      </c>
      <c r="E1082" s="309">
        <v>71.94</v>
      </c>
      <c r="F1082" s="306">
        <v>1280.92</v>
      </c>
      <c r="G1082" s="309">
        <v>65.11</v>
      </c>
      <c r="H1082" s="309">
        <v>96.64</v>
      </c>
      <c r="I1082" s="306">
        <v>26522.9</v>
      </c>
    </row>
    <row r="1083" spans="2:9" x14ac:dyDescent="0.25">
      <c r="B1083" s="206" t="s">
        <v>479</v>
      </c>
      <c r="C1083" s="306">
        <v>28293.38</v>
      </c>
      <c r="D1083" s="306">
        <v>26677.67</v>
      </c>
      <c r="E1083" s="309">
        <v>76.739999999999995</v>
      </c>
      <c r="F1083" s="306">
        <v>1366.42</v>
      </c>
      <c r="G1083" s="309">
        <v>69.45</v>
      </c>
      <c r="H1083" s="309">
        <v>103.09</v>
      </c>
      <c r="I1083" s="306">
        <v>28293.38</v>
      </c>
    </row>
    <row r="1084" spans="2:9" x14ac:dyDescent="0.25">
      <c r="B1084" s="206" t="s">
        <v>482</v>
      </c>
      <c r="C1084" s="306">
        <v>1352856.78</v>
      </c>
      <c r="D1084" s="306">
        <v>1275601.1100000001</v>
      </c>
      <c r="E1084" s="306">
        <v>3669.22</v>
      </c>
      <c r="F1084" s="306">
        <v>65336.03</v>
      </c>
      <c r="G1084" s="306">
        <v>3320.98</v>
      </c>
      <c r="H1084" s="306">
        <v>4929.4399999999996</v>
      </c>
      <c r="I1084" s="306">
        <v>1352856.78</v>
      </c>
    </row>
    <row r="1085" spans="2:9" x14ac:dyDescent="0.25">
      <c r="B1085" s="206" t="s">
        <v>486</v>
      </c>
      <c r="C1085" s="306">
        <v>95490.41</v>
      </c>
      <c r="D1085" s="306">
        <v>90037.37</v>
      </c>
      <c r="E1085" s="309">
        <v>258.99</v>
      </c>
      <c r="F1085" s="306">
        <v>4611.7</v>
      </c>
      <c r="G1085" s="309">
        <v>234.41</v>
      </c>
      <c r="H1085" s="309">
        <v>347.94</v>
      </c>
      <c r="I1085" s="306">
        <v>95490.41</v>
      </c>
    </row>
    <row r="1086" spans="2:9" x14ac:dyDescent="0.25">
      <c r="B1086" s="206" t="s">
        <v>487</v>
      </c>
      <c r="C1086" s="306">
        <v>1214105.43</v>
      </c>
      <c r="D1086" s="306">
        <v>1144773.24</v>
      </c>
      <c r="E1086" s="306">
        <v>3292.9</v>
      </c>
      <c r="F1086" s="306">
        <v>58635.05</v>
      </c>
      <c r="G1086" s="306">
        <v>2980.37</v>
      </c>
      <c r="H1086" s="306">
        <v>4423.87</v>
      </c>
      <c r="I1086" s="306">
        <v>1214105.43</v>
      </c>
    </row>
    <row r="1087" spans="2:9" x14ac:dyDescent="0.25">
      <c r="B1087" s="215" t="s">
        <v>489</v>
      </c>
      <c r="C1087" s="307">
        <v>8568.24</v>
      </c>
      <c r="D1087" s="307">
        <v>8078.95</v>
      </c>
      <c r="E1087" s="374">
        <v>23.24</v>
      </c>
      <c r="F1087" s="374">
        <v>413.8</v>
      </c>
      <c r="G1087" s="374">
        <v>21.03</v>
      </c>
      <c r="H1087" s="374">
        <v>31.22</v>
      </c>
      <c r="I1087" s="307">
        <v>8568.24</v>
      </c>
    </row>
    <row r="1088" spans="2:9" x14ac:dyDescent="0.25">
      <c r="B1088" s="334" t="s">
        <v>442</v>
      </c>
      <c r="C1088" s="308"/>
      <c r="D1088" s="308"/>
      <c r="E1088" s="308"/>
      <c r="F1088" s="308"/>
      <c r="G1088" s="308"/>
      <c r="H1088" s="308"/>
      <c r="I1088" s="308"/>
    </row>
    <row r="1089" spans="2:9" x14ac:dyDescent="0.25">
      <c r="B1089" s="206" t="s">
        <v>497</v>
      </c>
      <c r="C1089" s="306">
        <v>8568.24</v>
      </c>
      <c r="D1089" s="306">
        <v>8078.95</v>
      </c>
      <c r="E1089" s="309">
        <v>23.24</v>
      </c>
      <c r="F1089" s="309">
        <v>413.8</v>
      </c>
      <c r="G1089" s="309">
        <v>21.03</v>
      </c>
      <c r="H1089" s="309">
        <v>31.22</v>
      </c>
      <c r="I1089" s="306">
        <v>8568.24</v>
      </c>
    </row>
    <row r="1090" spans="2:9" x14ac:dyDescent="0.25">
      <c r="B1090" s="206" t="s">
        <v>499</v>
      </c>
      <c r="C1090" s="306">
        <v>7201100</v>
      </c>
      <c r="D1090" s="306">
        <v>6789877.0099999998</v>
      </c>
      <c r="E1090" s="306">
        <v>19530.82</v>
      </c>
      <c r="F1090" s="306">
        <v>347776.12</v>
      </c>
      <c r="G1090" s="306">
        <v>17677.189999999999</v>
      </c>
      <c r="H1090" s="306">
        <v>26238.86</v>
      </c>
      <c r="I1090" s="306">
        <v>7201100</v>
      </c>
    </row>
    <row r="1091" spans="2:9" x14ac:dyDescent="0.25">
      <c r="B1091" s="206" t="s">
        <v>502</v>
      </c>
      <c r="C1091" s="306">
        <v>1657605.09</v>
      </c>
      <c r="D1091" s="306">
        <v>1562946.59</v>
      </c>
      <c r="E1091" s="306">
        <v>4495.76</v>
      </c>
      <c r="F1091" s="306">
        <v>80053.81</v>
      </c>
      <c r="G1091" s="306">
        <v>4069.07</v>
      </c>
      <c r="H1091" s="306">
        <v>6039.87</v>
      </c>
      <c r="I1091" s="306">
        <v>1657605.09</v>
      </c>
    </row>
    <row r="1092" spans="2:9" x14ac:dyDescent="0.25">
      <c r="B1092" s="206" t="s">
        <v>504</v>
      </c>
      <c r="C1092" s="306">
        <v>9847744.4100000001</v>
      </c>
      <c r="D1092" s="306">
        <v>9285383.25</v>
      </c>
      <c r="E1092" s="306">
        <v>26709.05</v>
      </c>
      <c r="F1092" s="306">
        <v>475595.44</v>
      </c>
      <c r="G1092" s="306">
        <v>24174.14</v>
      </c>
      <c r="H1092" s="306">
        <v>35882.519999999997</v>
      </c>
      <c r="I1092" s="306">
        <v>9847744.4100000001</v>
      </c>
    </row>
    <row r="1093" spans="2:9" x14ac:dyDescent="0.25">
      <c r="B1093" s="215" t="s">
        <v>505</v>
      </c>
      <c r="C1093" s="307">
        <v>4752936.2699999996</v>
      </c>
      <c r="D1093" s="307">
        <v>4481517.09</v>
      </c>
      <c r="E1093" s="307">
        <v>12890.91</v>
      </c>
      <c r="F1093" s="307">
        <v>229542.39</v>
      </c>
      <c r="G1093" s="307">
        <v>11667.46</v>
      </c>
      <c r="H1093" s="307">
        <v>17318.419999999998</v>
      </c>
      <c r="I1093" s="307">
        <v>4752936.2699999996</v>
      </c>
    </row>
    <row r="1094" spans="2:9" x14ac:dyDescent="0.25">
      <c r="B1094" s="334" t="s">
        <v>442</v>
      </c>
      <c r="C1094" s="308"/>
      <c r="D1094" s="308"/>
      <c r="E1094" s="308"/>
      <c r="F1094" s="308"/>
      <c r="G1094" s="308"/>
      <c r="H1094" s="308"/>
      <c r="I1094" s="308"/>
    </row>
    <row r="1095" spans="2:9" x14ac:dyDescent="0.25">
      <c r="B1095" s="206" t="s">
        <v>508</v>
      </c>
      <c r="C1095" s="309">
        <v>864.96</v>
      </c>
      <c r="D1095" s="309">
        <v>815.57</v>
      </c>
      <c r="E1095" s="309">
        <v>2.35</v>
      </c>
      <c r="F1095" s="309">
        <v>41.77</v>
      </c>
      <c r="G1095" s="309">
        <v>2.12</v>
      </c>
      <c r="H1095" s="309">
        <v>3.15</v>
      </c>
      <c r="I1095" s="309">
        <v>864.96</v>
      </c>
    </row>
    <row r="1096" spans="2:9" x14ac:dyDescent="0.25">
      <c r="B1096" s="215" t="s">
        <v>510</v>
      </c>
      <c r="C1096" s="307">
        <v>2453105.34</v>
      </c>
      <c r="D1096" s="307">
        <v>2313019.34</v>
      </c>
      <c r="E1096" s="307">
        <v>6653.31</v>
      </c>
      <c r="F1096" s="307">
        <v>118472.38</v>
      </c>
      <c r="G1096" s="307">
        <v>6021.86</v>
      </c>
      <c r="H1096" s="307">
        <v>8938.4500000000007</v>
      </c>
      <c r="I1096" s="307">
        <v>2453105.34</v>
      </c>
    </row>
    <row r="1097" spans="2:9" x14ac:dyDescent="0.25">
      <c r="B1097" s="334" t="s">
        <v>442</v>
      </c>
      <c r="C1097" s="308"/>
      <c r="D1097" s="308"/>
      <c r="E1097" s="308"/>
      <c r="F1097" s="308"/>
      <c r="G1097" s="308"/>
      <c r="H1097" s="308"/>
      <c r="I1097" s="308"/>
    </row>
    <row r="1098" spans="2:9" ht="23.25" x14ac:dyDescent="0.25">
      <c r="B1098" s="211" t="s">
        <v>515</v>
      </c>
      <c r="C1098" s="311">
        <v>102200</v>
      </c>
      <c r="D1098" s="311">
        <v>96363.81</v>
      </c>
      <c r="E1098" s="310">
        <v>277.19</v>
      </c>
      <c r="F1098" s="311">
        <v>4935.7299999999996</v>
      </c>
      <c r="G1098" s="310">
        <v>250.88</v>
      </c>
      <c r="H1098" s="310">
        <v>372.39</v>
      </c>
      <c r="I1098" s="311">
        <v>102200</v>
      </c>
    </row>
    <row r="1099" spans="2:9" x14ac:dyDescent="0.25">
      <c r="B1099" s="211" t="s">
        <v>518</v>
      </c>
      <c r="C1099" s="311">
        <v>349634.23</v>
      </c>
      <c r="D1099" s="311">
        <v>329668.15999999997</v>
      </c>
      <c r="E1099" s="310">
        <v>948.28</v>
      </c>
      <c r="F1099" s="311">
        <v>16885.54</v>
      </c>
      <c r="G1099" s="310">
        <v>858.28</v>
      </c>
      <c r="H1099" s="311">
        <v>1273.97</v>
      </c>
      <c r="I1099" s="311">
        <v>349634.23</v>
      </c>
    </row>
    <row r="1100" spans="2:9" x14ac:dyDescent="0.25">
      <c r="B1100" s="211" t="s">
        <v>520</v>
      </c>
      <c r="C1100" s="310">
        <v>776.79</v>
      </c>
      <c r="D1100" s="310">
        <v>732.43</v>
      </c>
      <c r="E1100" s="310">
        <v>2.11</v>
      </c>
      <c r="F1100" s="310">
        <v>37.51</v>
      </c>
      <c r="G1100" s="310">
        <v>1.91</v>
      </c>
      <c r="H1100" s="310">
        <v>2.83</v>
      </c>
      <c r="I1100" s="310">
        <v>776.79</v>
      </c>
    </row>
    <row r="1101" spans="2:9" ht="23.25" x14ac:dyDescent="0.25">
      <c r="B1101" s="211" t="s">
        <v>524</v>
      </c>
      <c r="C1101" s="311">
        <v>320717</v>
      </c>
      <c r="D1101" s="311">
        <v>302402.27</v>
      </c>
      <c r="E1101" s="310">
        <v>869.85</v>
      </c>
      <c r="F1101" s="311">
        <v>15488.98</v>
      </c>
      <c r="G1101" s="310">
        <v>787.29</v>
      </c>
      <c r="H1101" s="311">
        <v>1168.6099999999999</v>
      </c>
      <c r="I1101" s="311">
        <v>320717</v>
      </c>
    </row>
    <row r="1102" spans="2:9" x14ac:dyDescent="0.25">
      <c r="B1102" s="211" t="s">
        <v>526</v>
      </c>
      <c r="C1102" s="311">
        <v>620000</v>
      </c>
      <c r="D1102" s="311">
        <v>584594.54</v>
      </c>
      <c r="E1102" s="311">
        <v>1681.56</v>
      </c>
      <c r="F1102" s="311">
        <v>29942.81</v>
      </c>
      <c r="G1102" s="311">
        <v>1521.97</v>
      </c>
      <c r="H1102" s="311">
        <v>2259.11</v>
      </c>
      <c r="I1102" s="311">
        <v>619999.99</v>
      </c>
    </row>
    <row r="1103" spans="2:9" ht="34.5" x14ac:dyDescent="0.25">
      <c r="B1103" s="211" t="s">
        <v>535</v>
      </c>
      <c r="C1103" s="311">
        <v>8066.67</v>
      </c>
      <c r="D1103" s="311">
        <v>7606.02</v>
      </c>
      <c r="E1103" s="310">
        <v>21.88</v>
      </c>
      <c r="F1103" s="310">
        <v>389.58</v>
      </c>
      <c r="G1103" s="310">
        <v>19.8</v>
      </c>
      <c r="H1103" s="310">
        <v>29.39</v>
      </c>
      <c r="I1103" s="311">
        <v>8066.67</v>
      </c>
    </row>
    <row r="1104" spans="2:9" x14ac:dyDescent="0.25">
      <c r="B1104" s="211" t="s">
        <v>539</v>
      </c>
      <c r="C1104" s="311">
        <v>24000</v>
      </c>
      <c r="D1104" s="311">
        <v>22629.47</v>
      </c>
      <c r="E1104" s="310">
        <v>65.09</v>
      </c>
      <c r="F1104" s="311">
        <v>1159.08</v>
      </c>
      <c r="G1104" s="310">
        <v>58.91</v>
      </c>
      <c r="H1104" s="310">
        <v>87.45</v>
      </c>
      <c r="I1104" s="311">
        <v>24000</v>
      </c>
    </row>
    <row r="1105" spans="2:9" ht="34.5" x14ac:dyDescent="0.25">
      <c r="B1105" s="211" t="s">
        <v>542</v>
      </c>
      <c r="C1105" s="311">
        <v>70000</v>
      </c>
      <c r="D1105" s="311">
        <v>66002.61</v>
      </c>
      <c r="E1105" s="310">
        <v>189.85</v>
      </c>
      <c r="F1105" s="311">
        <v>3380.64</v>
      </c>
      <c r="G1105" s="310">
        <v>171.84</v>
      </c>
      <c r="H1105" s="310">
        <v>255.06</v>
      </c>
      <c r="I1105" s="311">
        <v>70000</v>
      </c>
    </row>
    <row r="1106" spans="2:9" ht="34.5" x14ac:dyDescent="0.25">
      <c r="B1106" s="211" t="s">
        <v>545</v>
      </c>
      <c r="C1106" s="311">
        <v>6371.36</v>
      </c>
      <c r="D1106" s="311">
        <v>6007.52</v>
      </c>
      <c r="E1106" s="310">
        <v>17.28</v>
      </c>
      <c r="F1106" s="310">
        <v>307.7</v>
      </c>
      <c r="G1106" s="310">
        <v>15.64</v>
      </c>
      <c r="H1106" s="310">
        <v>23.22</v>
      </c>
      <c r="I1106" s="311">
        <v>6371.36</v>
      </c>
    </row>
    <row r="1107" spans="2:9" x14ac:dyDescent="0.25">
      <c r="B1107" s="211" t="s">
        <v>549</v>
      </c>
      <c r="C1107" s="311">
        <v>1339.29</v>
      </c>
      <c r="D1107" s="311">
        <v>1262.81</v>
      </c>
      <c r="E1107" s="310">
        <v>3.63</v>
      </c>
      <c r="F1107" s="310">
        <v>64.680000000000007</v>
      </c>
      <c r="G1107" s="310">
        <v>3.29</v>
      </c>
      <c r="H1107" s="310">
        <v>4.88</v>
      </c>
      <c r="I1107" s="311">
        <v>1339.29</v>
      </c>
    </row>
    <row r="1108" spans="2:9" ht="23.25" x14ac:dyDescent="0.25">
      <c r="B1108" s="211" t="s">
        <v>553</v>
      </c>
      <c r="C1108" s="311">
        <v>950000</v>
      </c>
      <c r="D1108" s="311">
        <v>895749.7</v>
      </c>
      <c r="E1108" s="311">
        <v>2576.59</v>
      </c>
      <c r="F1108" s="311">
        <v>45880.12</v>
      </c>
      <c r="G1108" s="311">
        <v>2332.0500000000002</v>
      </c>
      <c r="H1108" s="311">
        <v>3461.54</v>
      </c>
      <c r="I1108" s="311">
        <v>950000</v>
      </c>
    </row>
    <row r="1109" spans="2:9" x14ac:dyDescent="0.25">
      <c r="B1109" s="206" t="s">
        <v>555</v>
      </c>
      <c r="C1109" s="309">
        <v>480</v>
      </c>
      <c r="D1109" s="309">
        <v>452.59</v>
      </c>
      <c r="E1109" s="309">
        <v>1.3</v>
      </c>
      <c r="F1109" s="309">
        <v>23.18</v>
      </c>
      <c r="G1109" s="309">
        <v>1.18</v>
      </c>
      <c r="H1109" s="309">
        <v>1.75</v>
      </c>
      <c r="I1109" s="309">
        <v>480</v>
      </c>
    </row>
    <row r="1110" spans="2:9" x14ac:dyDescent="0.25">
      <c r="B1110" s="206" t="s">
        <v>557</v>
      </c>
      <c r="C1110" s="306">
        <v>296249.99</v>
      </c>
      <c r="D1110" s="306">
        <v>279332.46000000002</v>
      </c>
      <c r="E1110" s="309">
        <v>803.49</v>
      </c>
      <c r="F1110" s="306">
        <v>14307.35</v>
      </c>
      <c r="G1110" s="309">
        <v>727.23</v>
      </c>
      <c r="H1110" s="306">
        <v>1079.45</v>
      </c>
      <c r="I1110" s="306">
        <v>296249.99</v>
      </c>
    </row>
    <row r="1111" spans="2:9" x14ac:dyDescent="0.25">
      <c r="B1111" s="206" t="s">
        <v>559</v>
      </c>
      <c r="C1111" s="306">
        <v>67175.009999999995</v>
      </c>
      <c r="D1111" s="306">
        <v>63338.94</v>
      </c>
      <c r="E1111" s="309">
        <v>182.19</v>
      </c>
      <c r="F1111" s="306">
        <v>3244.21</v>
      </c>
      <c r="G1111" s="309">
        <v>164.9</v>
      </c>
      <c r="H1111" s="309">
        <v>244.77</v>
      </c>
      <c r="I1111" s="306">
        <v>67175.009999999995</v>
      </c>
    </row>
    <row r="1112" spans="2:9" x14ac:dyDescent="0.25">
      <c r="B1112" s="206" t="s">
        <v>561</v>
      </c>
      <c r="C1112" s="306">
        <v>1850.25</v>
      </c>
      <c r="D1112" s="306">
        <v>1744.59</v>
      </c>
      <c r="E1112" s="309">
        <v>5.0199999999999996</v>
      </c>
      <c r="F1112" s="309">
        <v>89.36</v>
      </c>
      <c r="G1112" s="309">
        <v>4.54</v>
      </c>
      <c r="H1112" s="309">
        <v>6.74</v>
      </c>
      <c r="I1112" s="306">
        <v>1850.25</v>
      </c>
    </row>
    <row r="1113" spans="2:9" x14ac:dyDescent="0.25">
      <c r="B1113" s="206" t="s">
        <v>563</v>
      </c>
      <c r="C1113" s="306">
        <v>925807.86</v>
      </c>
      <c r="D1113" s="306">
        <v>872939.07</v>
      </c>
      <c r="E1113" s="306">
        <v>2510.98</v>
      </c>
      <c r="F1113" s="306">
        <v>44711.76</v>
      </c>
      <c r="G1113" s="306">
        <v>2272.66</v>
      </c>
      <c r="H1113" s="306">
        <v>3373.39</v>
      </c>
      <c r="I1113" s="306">
        <v>925807.86</v>
      </c>
    </row>
    <row r="1114" spans="2:9" ht="26.25" x14ac:dyDescent="0.25">
      <c r="B1114" s="206" t="s">
        <v>565</v>
      </c>
      <c r="C1114" s="306">
        <v>25260</v>
      </c>
      <c r="D1114" s="306">
        <v>23817.51</v>
      </c>
      <c r="E1114" s="309">
        <v>68.510000000000005</v>
      </c>
      <c r="F1114" s="306">
        <v>1219.93</v>
      </c>
      <c r="G1114" s="309">
        <v>62.01</v>
      </c>
      <c r="H1114" s="309">
        <v>92.04</v>
      </c>
      <c r="I1114" s="306">
        <v>25260</v>
      </c>
    </row>
    <row r="1115" spans="2:9" x14ac:dyDescent="0.25">
      <c r="B1115" s="375" t="s">
        <v>888</v>
      </c>
      <c r="C1115" s="376">
        <v>982142.86</v>
      </c>
      <c r="D1115" s="376">
        <v>926057.02</v>
      </c>
      <c r="E1115" s="376">
        <v>2663.77</v>
      </c>
      <c r="F1115" s="376">
        <v>47432.45</v>
      </c>
      <c r="G1115" s="376">
        <v>2410.9499999999998</v>
      </c>
      <c r="H1115" s="376">
        <v>3578.66</v>
      </c>
      <c r="I1115" s="376">
        <v>982142.86</v>
      </c>
    </row>
    <row r="1116" spans="2:9" x14ac:dyDescent="0.25">
      <c r="B1116" s="206" t="s">
        <v>567</v>
      </c>
      <c r="C1116" s="306">
        <v>2367070.5299999998</v>
      </c>
      <c r="D1116" s="306">
        <v>2231897.59</v>
      </c>
      <c r="E1116" s="306">
        <v>6419.97</v>
      </c>
      <c r="F1116" s="306">
        <v>114317.34</v>
      </c>
      <c r="G1116" s="306">
        <v>5810.66</v>
      </c>
      <c r="H1116" s="306">
        <v>8624.9699999999993</v>
      </c>
      <c r="I1116" s="306">
        <v>2367070.5299999998</v>
      </c>
    </row>
    <row r="1117" spans="2:9" x14ac:dyDescent="0.25">
      <c r="B1117" s="215" t="s">
        <v>569</v>
      </c>
      <c r="C1117" s="307">
        <v>578099.11</v>
      </c>
      <c r="D1117" s="307">
        <v>545086.43000000005</v>
      </c>
      <c r="E1117" s="307">
        <v>1567.92</v>
      </c>
      <c r="F1117" s="307">
        <v>27919.22</v>
      </c>
      <c r="G1117" s="307">
        <v>1419.11</v>
      </c>
      <c r="H1117" s="307">
        <v>2106.44</v>
      </c>
      <c r="I1117" s="307">
        <v>578099.11</v>
      </c>
    </row>
    <row r="1118" spans="2:9" x14ac:dyDescent="0.25">
      <c r="B1118" s="334" t="s">
        <v>442</v>
      </c>
      <c r="C1118" s="308"/>
      <c r="D1118" s="308"/>
      <c r="E1118" s="308"/>
      <c r="F1118" s="308"/>
      <c r="G1118" s="308"/>
      <c r="H1118" s="308"/>
      <c r="I1118" s="308"/>
    </row>
    <row r="1119" spans="2:9" x14ac:dyDescent="0.25">
      <c r="B1119" s="206" t="s">
        <v>573</v>
      </c>
      <c r="C1119" s="306">
        <v>578099.11</v>
      </c>
      <c r="D1119" s="306">
        <v>545086.43000000005</v>
      </c>
      <c r="E1119" s="306">
        <v>1567.92</v>
      </c>
      <c r="F1119" s="306">
        <v>27919.22</v>
      </c>
      <c r="G1119" s="306">
        <v>1419.11</v>
      </c>
      <c r="H1119" s="306">
        <v>2106.44</v>
      </c>
      <c r="I1119" s="306">
        <v>578099.11</v>
      </c>
    </row>
    <row r="1120" spans="2:9" x14ac:dyDescent="0.25">
      <c r="B1120" s="338" t="s">
        <v>575</v>
      </c>
      <c r="C1120" s="312">
        <v>147677336.05000001</v>
      </c>
      <c r="D1120" s="312">
        <v>139244136.12</v>
      </c>
      <c r="E1120" s="312">
        <v>400530.47</v>
      </c>
      <c r="F1120" s="312">
        <v>7132056.2699999996</v>
      </c>
      <c r="G1120" s="312">
        <v>362516.85</v>
      </c>
      <c r="H1120" s="312">
        <v>538096.34</v>
      </c>
      <c r="I1120" s="312">
        <v>147677336.05000001</v>
      </c>
    </row>
    <row r="1121" spans="2:9" x14ac:dyDescent="0.25">
      <c r="B1121"/>
      <c r="C1121"/>
      <c r="D1121"/>
    </row>
    <row r="1122" spans="2:9" x14ac:dyDescent="0.25">
      <c r="B1122" s="222" t="s">
        <v>768</v>
      </c>
      <c r="C1122" s="187" t="s">
        <v>889</v>
      </c>
      <c r="D1122"/>
      <c r="H1122" s="184" t="s">
        <v>890</v>
      </c>
    </row>
    <row r="1123" spans="2:9" x14ac:dyDescent="0.25">
      <c r="B1123"/>
      <c r="C1123"/>
      <c r="D1123"/>
    </row>
    <row r="1124" spans="2:9" ht="25.5" x14ac:dyDescent="0.25">
      <c r="B1124" s="329"/>
      <c r="C1124" s="330">
        <v>7211</v>
      </c>
      <c r="D1124" s="304" t="s">
        <v>430</v>
      </c>
      <c r="E1124" s="304" t="s">
        <v>663</v>
      </c>
      <c r="F1124" s="304" t="s">
        <v>729</v>
      </c>
      <c r="G1124" s="304" t="s">
        <v>771</v>
      </c>
      <c r="H1124" s="304" t="s">
        <v>772</v>
      </c>
      <c r="I1124" s="331" t="s">
        <v>773</v>
      </c>
    </row>
    <row r="1125" spans="2:9" x14ac:dyDescent="0.25">
      <c r="B1125" s="305">
        <v>1</v>
      </c>
      <c r="C1125" s="305">
        <v>2</v>
      </c>
      <c r="D1125" s="305">
        <v>3</v>
      </c>
      <c r="E1125" s="305">
        <v>4</v>
      </c>
      <c r="F1125" s="305">
        <v>5</v>
      </c>
      <c r="G1125" s="305">
        <v>6</v>
      </c>
      <c r="H1125" s="305">
        <v>7</v>
      </c>
      <c r="I1125" s="305">
        <v>8</v>
      </c>
    </row>
    <row r="1126" spans="2:9" ht="26.25" x14ac:dyDescent="0.25">
      <c r="B1126" s="206" t="s">
        <v>433</v>
      </c>
      <c r="C1126" s="306">
        <v>166063326</v>
      </c>
      <c r="D1126" s="306">
        <v>152345674.91999999</v>
      </c>
      <c r="E1126" s="306">
        <v>8771674.1199999992</v>
      </c>
      <c r="F1126" s="306">
        <v>4054125.57</v>
      </c>
      <c r="G1126" s="306">
        <v>280648.68</v>
      </c>
      <c r="H1126" s="306">
        <v>611202.71</v>
      </c>
      <c r="I1126" s="306">
        <v>166063326</v>
      </c>
    </row>
    <row r="1127" spans="2:9" x14ac:dyDescent="0.25">
      <c r="B1127" s="206" t="s">
        <v>434</v>
      </c>
      <c r="C1127" s="306">
        <v>12322698.15</v>
      </c>
      <c r="D1127" s="306">
        <v>11304782.41</v>
      </c>
      <c r="E1127" s="306">
        <v>650900.43999999994</v>
      </c>
      <c r="F1127" s="306">
        <v>300835.63</v>
      </c>
      <c r="G1127" s="306">
        <v>20825.48</v>
      </c>
      <c r="H1127" s="306">
        <v>45354.18</v>
      </c>
      <c r="I1127" s="306">
        <v>12322698.15</v>
      </c>
    </row>
    <row r="1128" spans="2:9" x14ac:dyDescent="0.25">
      <c r="B1128" s="206" t="s">
        <v>435</v>
      </c>
      <c r="C1128" s="306">
        <v>2056852.04</v>
      </c>
      <c r="D1128" s="306">
        <v>1886945.9</v>
      </c>
      <c r="E1128" s="306">
        <v>108645.52</v>
      </c>
      <c r="F1128" s="306">
        <v>50214.2</v>
      </c>
      <c r="G1128" s="306">
        <v>3476.1</v>
      </c>
      <c r="H1128" s="306">
        <v>7570.33</v>
      </c>
      <c r="I1128" s="306">
        <v>2056852.04</v>
      </c>
    </row>
    <row r="1129" spans="2:9" x14ac:dyDescent="0.25">
      <c r="B1129" s="206" t="s">
        <v>436</v>
      </c>
      <c r="C1129" s="306">
        <v>1179678.67</v>
      </c>
      <c r="D1129" s="306">
        <v>1082231.3799999999</v>
      </c>
      <c r="E1129" s="306">
        <v>62312.11</v>
      </c>
      <c r="F1129" s="306">
        <v>28799.65</v>
      </c>
      <c r="G1129" s="306">
        <v>1993.67</v>
      </c>
      <c r="H1129" s="306">
        <v>4341.8500000000004</v>
      </c>
      <c r="I1129" s="306">
        <v>1179678.67</v>
      </c>
    </row>
    <row r="1130" spans="2:9" x14ac:dyDescent="0.25">
      <c r="B1130" s="206" t="s">
        <v>438</v>
      </c>
      <c r="C1130" s="306">
        <v>1611152.66</v>
      </c>
      <c r="D1130" s="306">
        <v>1478063.49</v>
      </c>
      <c r="E1130" s="306">
        <v>85103.11</v>
      </c>
      <c r="F1130" s="306">
        <v>39333.279999999999</v>
      </c>
      <c r="G1130" s="306">
        <v>2722.86</v>
      </c>
      <c r="H1130" s="306">
        <v>5929.91</v>
      </c>
      <c r="I1130" s="306">
        <v>1611152.66</v>
      </c>
    </row>
    <row r="1131" spans="2:9" x14ac:dyDescent="0.25">
      <c r="B1131" s="215" t="s">
        <v>440</v>
      </c>
      <c r="C1131" s="307">
        <v>4510730.97</v>
      </c>
      <c r="D1131" s="307">
        <v>4138122.31</v>
      </c>
      <c r="E1131" s="307">
        <v>238262.49</v>
      </c>
      <c r="F1131" s="307">
        <v>110121.06</v>
      </c>
      <c r="G1131" s="307">
        <v>7623.18</v>
      </c>
      <c r="H1131" s="307">
        <v>16601.93</v>
      </c>
      <c r="I1131" s="307">
        <v>4510730.97</v>
      </c>
    </row>
    <row r="1132" spans="2:9" x14ac:dyDescent="0.25">
      <c r="B1132" s="334" t="s">
        <v>442</v>
      </c>
      <c r="C1132" s="308"/>
      <c r="D1132" s="308"/>
      <c r="E1132" s="308"/>
      <c r="F1132" s="308"/>
      <c r="G1132" s="308"/>
      <c r="H1132" s="308"/>
      <c r="I1132" s="308"/>
    </row>
    <row r="1133" spans="2:9" x14ac:dyDescent="0.25">
      <c r="B1133" s="206" t="s">
        <v>446</v>
      </c>
      <c r="C1133" s="306">
        <v>-8888.0300000000007</v>
      </c>
      <c r="D1133" s="306">
        <v>-8153.83</v>
      </c>
      <c r="E1133" s="309">
        <v>-469.48</v>
      </c>
      <c r="F1133" s="309">
        <v>-216.98</v>
      </c>
      <c r="G1133" s="309">
        <v>-15.02</v>
      </c>
      <c r="H1133" s="309">
        <v>-32.71</v>
      </c>
      <c r="I1133" s="306">
        <v>-8888.0300000000007</v>
      </c>
    </row>
    <row r="1134" spans="2:9" x14ac:dyDescent="0.25">
      <c r="B1134" s="206" t="s">
        <v>450</v>
      </c>
      <c r="C1134" s="306">
        <v>3603768</v>
      </c>
      <c r="D1134" s="306">
        <v>3306078.96</v>
      </c>
      <c r="E1134" s="306">
        <v>190355.57</v>
      </c>
      <c r="F1134" s="306">
        <v>87979.26</v>
      </c>
      <c r="G1134" s="306">
        <v>6090.4</v>
      </c>
      <c r="H1134" s="306">
        <v>13263.81</v>
      </c>
      <c r="I1134" s="306">
        <v>3603768</v>
      </c>
    </row>
    <row r="1135" spans="2:9" ht="26.25" x14ac:dyDescent="0.25">
      <c r="B1135" s="206" t="s">
        <v>454</v>
      </c>
      <c r="C1135" s="309">
        <v>3</v>
      </c>
      <c r="D1135" s="309">
        <v>2.75</v>
      </c>
      <c r="E1135" s="309">
        <v>0.16</v>
      </c>
      <c r="F1135" s="309">
        <v>7.0000000000000007E-2</v>
      </c>
      <c r="G1135" s="309">
        <v>0.01</v>
      </c>
      <c r="H1135" s="309">
        <v>0.01</v>
      </c>
      <c r="I1135" s="309">
        <v>3</v>
      </c>
    </row>
    <row r="1136" spans="2:9" x14ac:dyDescent="0.25">
      <c r="B1136" s="206" t="s">
        <v>456</v>
      </c>
      <c r="C1136" s="306">
        <v>37875</v>
      </c>
      <c r="D1136" s="306">
        <v>34746.339999999997</v>
      </c>
      <c r="E1136" s="306">
        <v>2000.61</v>
      </c>
      <c r="F1136" s="309">
        <v>924.65</v>
      </c>
      <c r="G1136" s="309">
        <v>64.010000000000005</v>
      </c>
      <c r="H1136" s="309">
        <v>139.4</v>
      </c>
      <c r="I1136" s="306">
        <v>37875</v>
      </c>
    </row>
    <row r="1137" spans="2:9" ht="26.25" x14ac:dyDescent="0.25">
      <c r="B1137" s="206" t="s">
        <v>458</v>
      </c>
      <c r="C1137" s="306">
        <v>208848</v>
      </c>
      <c r="D1137" s="306">
        <v>191596.12</v>
      </c>
      <c r="E1137" s="306">
        <v>11031.61</v>
      </c>
      <c r="F1137" s="306">
        <v>5098.63</v>
      </c>
      <c r="G1137" s="309">
        <v>352.96</v>
      </c>
      <c r="H1137" s="309">
        <v>768.67</v>
      </c>
      <c r="I1137" s="306">
        <v>208848</v>
      </c>
    </row>
    <row r="1138" spans="2:9" x14ac:dyDescent="0.25">
      <c r="B1138" s="206" t="s">
        <v>460</v>
      </c>
      <c r="C1138" s="306">
        <v>669125</v>
      </c>
      <c r="D1138" s="306">
        <v>613851.97</v>
      </c>
      <c r="E1138" s="306">
        <v>35344.03</v>
      </c>
      <c r="F1138" s="306">
        <v>16335.44</v>
      </c>
      <c r="G1138" s="306">
        <v>1130.83</v>
      </c>
      <c r="H1138" s="306">
        <v>2462.7399999999998</v>
      </c>
      <c r="I1138" s="306">
        <v>669125</v>
      </c>
    </row>
    <row r="1139" spans="2:9" x14ac:dyDescent="0.25">
      <c r="B1139" s="206" t="s">
        <v>462</v>
      </c>
      <c r="C1139" s="306">
        <v>751803.64</v>
      </c>
      <c r="D1139" s="306">
        <v>689700.95</v>
      </c>
      <c r="E1139" s="306">
        <v>39711.22</v>
      </c>
      <c r="F1139" s="306">
        <v>18353.88</v>
      </c>
      <c r="G1139" s="306">
        <v>1270.56</v>
      </c>
      <c r="H1139" s="306">
        <v>2767.04</v>
      </c>
      <c r="I1139" s="306">
        <v>751803.64</v>
      </c>
    </row>
    <row r="1140" spans="2:9" x14ac:dyDescent="0.25">
      <c r="B1140" s="215" t="s">
        <v>466</v>
      </c>
      <c r="C1140" s="307">
        <v>1211573.47</v>
      </c>
      <c r="D1140" s="307">
        <v>1111491.52</v>
      </c>
      <c r="E1140" s="307">
        <v>63996.84</v>
      </c>
      <c r="F1140" s="307">
        <v>29578.3</v>
      </c>
      <c r="G1140" s="307">
        <v>2047.57</v>
      </c>
      <c r="H1140" s="307">
        <v>4459.24</v>
      </c>
      <c r="I1140" s="307">
        <v>1211573.47</v>
      </c>
    </row>
    <row r="1141" spans="2:9" x14ac:dyDescent="0.25">
      <c r="B1141" s="334" t="s">
        <v>442</v>
      </c>
      <c r="C1141" s="308"/>
      <c r="D1141" s="308"/>
      <c r="E1141" s="308"/>
      <c r="F1141" s="308"/>
      <c r="G1141" s="308"/>
      <c r="H1141" s="308"/>
      <c r="I1141" s="308"/>
    </row>
    <row r="1142" spans="2:9" x14ac:dyDescent="0.25">
      <c r="B1142" s="206" t="s">
        <v>470</v>
      </c>
      <c r="C1142" s="306">
        <v>660398.6</v>
      </c>
      <c r="D1142" s="306">
        <v>605846.41</v>
      </c>
      <c r="E1142" s="306">
        <v>34883.089999999997</v>
      </c>
      <c r="F1142" s="306">
        <v>16122.4</v>
      </c>
      <c r="G1142" s="306">
        <v>1116.08</v>
      </c>
      <c r="H1142" s="306">
        <v>2430.62</v>
      </c>
      <c r="I1142" s="306">
        <v>660398.6</v>
      </c>
    </row>
    <row r="1143" spans="2:9" x14ac:dyDescent="0.25">
      <c r="B1143" s="206" t="s">
        <v>473</v>
      </c>
      <c r="C1143" s="306">
        <v>12620.78</v>
      </c>
      <c r="D1143" s="306">
        <v>11578.24</v>
      </c>
      <c r="E1143" s="309">
        <v>666.65</v>
      </c>
      <c r="F1143" s="309">
        <v>308.11</v>
      </c>
      <c r="G1143" s="309">
        <v>21.33</v>
      </c>
      <c r="H1143" s="309">
        <v>46.45</v>
      </c>
      <c r="I1143" s="306">
        <v>12620.78</v>
      </c>
    </row>
    <row r="1144" spans="2:9" x14ac:dyDescent="0.25">
      <c r="B1144" s="206" t="s">
        <v>476</v>
      </c>
      <c r="C1144" s="306">
        <v>29801.27</v>
      </c>
      <c r="D1144" s="306">
        <v>27339.54</v>
      </c>
      <c r="E1144" s="306">
        <v>1574.14</v>
      </c>
      <c r="F1144" s="309">
        <v>727.54</v>
      </c>
      <c r="G1144" s="309">
        <v>50.36</v>
      </c>
      <c r="H1144" s="309">
        <v>109.68</v>
      </c>
      <c r="I1144" s="306">
        <v>29801.27</v>
      </c>
    </row>
    <row r="1145" spans="2:9" x14ac:dyDescent="0.25">
      <c r="B1145" s="206" t="s">
        <v>479</v>
      </c>
      <c r="C1145" s="306">
        <v>35649.26</v>
      </c>
      <c r="D1145" s="306">
        <v>32704.46</v>
      </c>
      <c r="E1145" s="306">
        <v>1883.04</v>
      </c>
      <c r="F1145" s="309">
        <v>870.31</v>
      </c>
      <c r="G1145" s="309">
        <v>60.25</v>
      </c>
      <c r="H1145" s="309">
        <v>131.21</v>
      </c>
      <c r="I1145" s="306">
        <v>35649.26</v>
      </c>
    </row>
    <row r="1146" spans="2:9" x14ac:dyDescent="0.25">
      <c r="B1146" s="206" t="s">
        <v>480</v>
      </c>
      <c r="C1146" s="306">
        <v>473103.56</v>
      </c>
      <c r="D1146" s="306">
        <v>434022.87</v>
      </c>
      <c r="E1146" s="306">
        <v>24989.93</v>
      </c>
      <c r="F1146" s="306">
        <v>11549.94</v>
      </c>
      <c r="G1146" s="309">
        <v>799.55</v>
      </c>
      <c r="H1146" s="306">
        <v>1741.28</v>
      </c>
      <c r="I1146" s="306">
        <v>473103.56</v>
      </c>
    </row>
    <row r="1147" spans="2:9" x14ac:dyDescent="0.25">
      <c r="B1147" s="206" t="s">
        <v>482</v>
      </c>
      <c r="C1147" s="306">
        <v>2350914.7400000002</v>
      </c>
      <c r="D1147" s="306">
        <v>2156717.5699999998</v>
      </c>
      <c r="E1147" s="306">
        <v>124178.28</v>
      </c>
      <c r="F1147" s="306">
        <v>57393.19</v>
      </c>
      <c r="G1147" s="306">
        <v>3973.07</v>
      </c>
      <c r="H1147" s="306">
        <v>8652.64</v>
      </c>
      <c r="I1147" s="306">
        <v>2350914.7400000002</v>
      </c>
    </row>
    <row r="1148" spans="2:9" x14ac:dyDescent="0.25">
      <c r="B1148" s="206" t="s">
        <v>486</v>
      </c>
      <c r="C1148" s="306">
        <v>70098.37</v>
      </c>
      <c r="D1148" s="306">
        <v>64307.9</v>
      </c>
      <c r="E1148" s="306">
        <v>3702.68</v>
      </c>
      <c r="F1148" s="306">
        <v>1711.32</v>
      </c>
      <c r="G1148" s="309">
        <v>118.47</v>
      </c>
      <c r="H1148" s="309">
        <v>258</v>
      </c>
      <c r="I1148" s="306">
        <v>70098.37</v>
      </c>
    </row>
    <row r="1149" spans="2:9" x14ac:dyDescent="0.25">
      <c r="B1149" s="206" t="s">
        <v>487</v>
      </c>
      <c r="C1149" s="306">
        <v>5877072.3600000003</v>
      </c>
      <c r="D1149" s="306">
        <v>5391597.1500000004</v>
      </c>
      <c r="E1149" s="306">
        <v>310434.37</v>
      </c>
      <c r="F1149" s="306">
        <v>143477.73000000001</v>
      </c>
      <c r="G1149" s="306">
        <v>9932.31</v>
      </c>
      <c r="H1149" s="306">
        <v>21630.799999999999</v>
      </c>
      <c r="I1149" s="306">
        <v>5877072.3600000003</v>
      </c>
    </row>
    <row r="1150" spans="2:9" x14ac:dyDescent="0.25">
      <c r="B1150" s="334" t="s">
        <v>442</v>
      </c>
      <c r="C1150" s="308"/>
      <c r="D1150" s="308"/>
      <c r="E1150" s="308"/>
      <c r="F1150" s="308"/>
      <c r="G1150" s="308"/>
      <c r="H1150" s="308"/>
      <c r="I1150" s="308"/>
    </row>
    <row r="1151" spans="2:9" x14ac:dyDescent="0.25">
      <c r="B1151" s="206" t="s">
        <v>499</v>
      </c>
      <c r="C1151" s="306">
        <v>8850881</v>
      </c>
      <c r="D1151" s="306">
        <v>8119754.5099999998</v>
      </c>
      <c r="E1151" s="306">
        <v>467514.69</v>
      </c>
      <c r="F1151" s="306">
        <v>216077.71</v>
      </c>
      <c r="G1151" s="306">
        <v>14958.08</v>
      </c>
      <c r="H1151" s="306">
        <v>32576.02</v>
      </c>
      <c r="I1151" s="306">
        <v>8850881</v>
      </c>
    </row>
    <row r="1152" spans="2:9" x14ac:dyDescent="0.25">
      <c r="B1152" s="206" t="s">
        <v>502</v>
      </c>
      <c r="C1152" s="306">
        <v>1561261.77</v>
      </c>
      <c r="D1152" s="306">
        <v>1432293.84</v>
      </c>
      <c r="E1152" s="306">
        <v>82467.81</v>
      </c>
      <c r="F1152" s="306">
        <v>38115.29</v>
      </c>
      <c r="G1152" s="306">
        <v>2638.55</v>
      </c>
      <c r="H1152" s="306">
        <v>5746.29</v>
      </c>
      <c r="I1152" s="306">
        <v>1561261.77</v>
      </c>
    </row>
    <row r="1153" spans="2:9" x14ac:dyDescent="0.25">
      <c r="B1153" s="206" t="s">
        <v>504</v>
      </c>
      <c r="C1153" s="306">
        <v>9998422.7100000009</v>
      </c>
      <c r="D1153" s="306">
        <v>9172503.5999999996</v>
      </c>
      <c r="E1153" s="306">
        <v>528129.29</v>
      </c>
      <c r="F1153" s="306">
        <v>244092.79</v>
      </c>
      <c r="G1153" s="306">
        <v>16897.43</v>
      </c>
      <c r="H1153" s="306">
        <v>36799.589999999997</v>
      </c>
      <c r="I1153" s="306">
        <v>9998422.7100000009</v>
      </c>
    </row>
    <row r="1154" spans="2:9" x14ac:dyDescent="0.25">
      <c r="B1154" s="215" t="s">
        <v>505</v>
      </c>
      <c r="C1154" s="307">
        <v>6985470.3099999996</v>
      </c>
      <c r="D1154" s="307">
        <v>6408435.9500000002</v>
      </c>
      <c r="E1154" s="307">
        <v>368981.34</v>
      </c>
      <c r="F1154" s="307">
        <v>170537.19</v>
      </c>
      <c r="G1154" s="307">
        <v>11805.51</v>
      </c>
      <c r="H1154" s="307">
        <v>25710.3</v>
      </c>
      <c r="I1154" s="307">
        <v>6985470.3099999996</v>
      </c>
    </row>
    <row r="1155" spans="2:9" x14ac:dyDescent="0.25">
      <c r="B1155" s="334" t="s">
        <v>442</v>
      </c>
      <c r="C1155" s="308"/>
      <c r="D1155" s="308"/>
      <c r="E1155" s="308"/>
      <c r="F1155" s="308"/>
      <c r="G1155" s="308"/>
      <c r="H1155" s="308"/>
      <c r="I1155" s="308"/>
    </row>
    <row r="1156" spans="2:9" x14ac:dyDescent="0.25">
      <c r="B1156" s="206" t="s">
        <v>508</v>
      </c>
      <c r="C1156" s="309">
        <v>756.84</v>
      </c>
      <c r="D1156" s="309">
        <v>694.32</v>
      </c>
      <c r="E1156" s="309">
        <v>39.979999999999997</v>
      </c>
      <c r="F1156" s="309">
        <v>18.48</v>
      </c>
      <c r="G1156" s="309">
        <v>1.28</v>
      </c>
      <c r="H1156" s="309">
        <v>2.79</v>
      </c>
      <c r="I1156" s="309">
        <v>756.84</v>
      </c>
    </row>
    <row r="1157" spans="2:9" x14ac:dyDescent="0.25">
      <c r="B1157" s="215" t="s">
        <v>510</v>
      </c>
      <c r="C1157" s="307">
        <v>7390907.3899999997</v>
      </c>
      <c r="D1157" s="307">
        <v>6780381.9299999997</v>
      </c>
      <c r="E1157" s="307">
        <v>390397.04</v>
      </c>
      <c r="F1157" s="307">
        <v>180435.18</v>
      </c>
      <c r="G1157" s="307">
        <v>12490.71</v>
      </c>
      <c r="H1157" s="307">
        <v>27202.53</v>
      </c>
      <c r="I1157" s="307">
        <v>7390907.3899999997</v>
      </c>
    </row>
    <row r="1158" spans="2:9" x14ac:dyDescent="0.25">
      <c r="B1158" s="334" t="s">
        <v>442</v>
      </c>
      <c r="C1158" s="308"/>
      <c r="D1158" s="308"/>
      <c r="E1158" s="308"/>
      <c r="F1158" s="308"/>
      <c r="G1158" s="308"/>
      <c r="H1158" s="308"/>
      <c r="I1158" s="308"/>
    </row>
    <row r="1159" spans="2:9" ht="23.25" x14ac:dyDescent="0.25">
      <c r="B1159" s="211" t="s">
        <v>515</v>
      </c>
      <c r="C1159" s="311">
        <v>102200</v>
      </c>
      <c r="D1159" s="311">
        <v>93757.78</v>
      </c>
      <c r="E1159" s="311">
        <v>5398.33</v>
      </c>
      <c r="F1159" s="311">
        <v>2495.02</v>
      </c>
      <c r="G1159" s="310">
        <v>172.72</v>
      </c>
      <c r="H1159" s="310">
        <v>376.15</v>
      </c>
      <c r="I1159" s="311">
        <v>102200</v>
      </c>
    </row>
    <row r="1160" spans="2:9" x14ac:dyDescent="0.25">
      <c r="B1160" s="211" t="s">
        <v>518</v>
      </c>
      <c r="C1160" s="311">
        <v>349594.32</v>
      </c>
      <c r="D1160" s="311">
        <v>320716.09999999998</v>
      </c>
      <c r="E1160" s="311">
        <v>18466.009999999998</v>
      </c>
      <c r="F1160" s="311">
        <v>8534.69</v>
      </c>
      <c r="G1160" s="310">
        <v>590.82000000000005</v>
      </c>
      <c r="H1160" s="311">
        <v>1286.7</v>
      </c>
      <c r="I1160" s="311">
        <v>349594.32</v>
      </c>
    </row>
    <row r="1161" spans="2:9" x14ac:dyDescent="0.25">
      <c r="B1161" s="211" t="s">
        <v>520</v>
      </c>
      <c r="C1161" s="311">
        <v>1475.89</v>
      </c>
      <c r="D1161" s="311">
        <v>1353.97</v>
      </c>
      <c r="E1161" s="310">
        <v>77.959999999999994</v>
      </c>
      <c r="F1161" s="310">
        <v>36.03</v>
      </c>
      <c r="G1161" s="310">
        <v>2.4900000000000002</v>
      </c>
      <c r="H1161" s="310">
        <v>5.43</v>
      </c>
      <c r="I1161" s="311">
        <v>1475.88</v>
      </c>
    </row>
    <row r="1162" spans="2:9" ht="23.25" x14ac:dyDescent="0.25">
      <c r="B1162" s="211" t="s">
        <v>524</v>
      </c>
      <c r="C1162" s="311">
        <v>320717</v>
      </c>
      <c r="D1162" s="311">
        <v>294224.19</v>
      </c>
      <c r="E1162" s="311">
        <v>16940.68</v>
      </c>
      <c r="F1162" s="311">
        <v>7829.71</v>
      </c>
      <c r="G1162" s="310">
        <v>542.01</v>
      </c>
      <c r="H1162" s="311">
        <v>1180.4100000000001</v>
      </c>
      <c r="I1162" s="311">
        <v>320717</v>
      </c>
    </row>
    <row r="1163" spans="2:9" x14ac:dyDescent="0.25">
      <c r="B1163" s="211" t="s">
        <v>533</v>
      </c>
      <c r="C1163" s="311">
        <v>2400000</v>
      </c>
      <c r="D1163" s="311">
        <v>2201748.14</v>
      </c>
      <c r="E1163" s="311">
        <v>126771.02</v>
      </c>
      <c r="F1163" s="311">
        <v>58591.51</v>
      </c>
      <c r="G1163" s="311">
        <v>4056.02</v>
      </c>
      <c r="H1163" s="311">
        <v>8833.2999999999993</v>
      </c>
      <c r="I1163" s="311">
        <v>2399999.9900000002</v>
      </c>
    </row>
    <row r="1164" spans="2:9" ht="34.5" x14ac:dyDescent="0.25">
      <c r="B1164" s="211" t="s">
        <v>535</v>
      </c>
      <c r="C1164" s="311">
        <v>8066.67</v>
      </c>
      <c r="D1164" s="311">
        <v>7400.32</v>
      </c>
      <c r="E1164" s="310">
        <v>426.09</v>
      </c>
      <c r="F1164" s="310">
        <v>196.93</v>
      </c>
      <c r="G1164" s="310">
        <v>13.63</v>
      </c>
      <c r="H1164" s="310">
        <v>29.69</v>
      </c>
      <c r="I1164" s="311">
        <v>8066.66</v>
      </c>
    </row>
    <row r="1165" spans="2:9" ht="23.25" x14ac:dyDescent="0.25">
      <c r="B1165" s="211" t="s">
        <v>537</v>
      </c>
      <c r="C1165" s="311">
        <v>982142.86</v>
      </c>
      <c r="D1165" s="311">
        <v>901013.01</v>
      </c>
      <c r="E1165" s="311">
        <v>51878.02</v>
      </c>
      <c r="F1165" s="311">
        <v>23977.18</v>
      </c>
      <c r="G1165" s="311">
        <v>1659.83</v>
      </c>
      <c r="H1165" s="311">
        <v>3614.82</v>
      </c>
      <c r="I1165" s="311">
        <v>982142.86</v>
      </c>
    </row>
    <row r="1166" spans="2:9" x14ac:dyDescent="0.25">
      <c r="B1166" s="211" t="s">
        <v>539</v>
      </c>
      <c r="C1166" s="311">
        <v>24000</v>
      </c>
      <c r="D1166" s="311">
        <v>22017.48</v>
      </c>
      <c r="E1166" s="311">
        <v>1267.71</v>
      </c>
      <c r="F1166" s="310">
        <v>585.91999999999996</v>
      </c>
      <c r="G1166" s="310">
        <v>40.56</v>
      </c>
      <c r="H1166" s="310">
        <v>88.33</v>
      </c>
      <c r="I1166" s="311">
        <v>24000</v>
      </c>
    </row>
    <row r="1167" spans="2:9" ht="34.5" x14ac:dyDescent="0.25">
      <c r="B1167" s="211" t="s">
        <v>542</v>
      </c>
      <c r="C1167" s="311">
        <v>70000</v>
      </c>
      <c r="D1167" s="311">
        <v>64217.65</v>
      </c>
      <c r="E1167" s="311">
        <v>3697.49</v>
      </c>
      <c r="F1167" s="311">
        <v>1708.92</v>
      </c>
      <c r="G1167" s="310">
        <v>118.3</v>
      </c>
      <c r="H1167" s="310">
        <v>257.64</v>
      </c>
      <c r="I1167" s="311">
        <v>70000</v>
      </c>
    </row>
    <row r="1168" spans="2:9" ht="34.5" x14ac:dyDescent="0.25">
      <c r="B1168" s="211" t="s">
        <v>545</v>
      </c>
      <c r="C1168" s="311">
        <v>6371.36</v>
      </c>
      <c r="D1168" s="311">
        <v>5845.05</v>
      </c>
      <c r="E1168" s="310">
        <v>336.54</v>
      </c>
      <c r="F1168" s="310">
        <v>155.54</v>
      </c>
      <c r="G1168" s="310">
        <v>10.77</v>
      </c>
      <c r="H1168" s="310">
        <v>23.45</v>
      </c>
      <c r="I1168" s="311">
        <v>6371.35</v>
      </c>
    </row>
    <row r="1169" spans="2:9" x14ac:dyDescent="0.25">
      <c r="B1169" s="211" t="s">
        <v>549</v>
      </c>
      <c r="C1169" s="311">
        <v>1339.29</v>
      </c>
      <c r="D1169" s="311">
        <v>1228.6600000000001</v>
      </c>
      <c r="E1169" s="310">
        <v>70.739999999999995</v>
      </c>
      <c r="F1169" s="310">
        <v>32.700000000000003</v>
      </c>
      <c r="G1169" s="310">
        <v>2.2599999999999998</v>
      </c>
      <c r="H1169" s="310">
        <v>4.93</v>
      </c>
      <c r="I1169" s="311">
        <v>1339.29</v>
      </c>
    </row>
    <row r="1170" spans="2:9" ht="23.25" x14ac:dyDescent="0.25">
      <c r="B1170" s="211" t="s">
        <v>553</v>
      </c>
      <c r="C1170" s="311">
        <v>3125000</v>
      </c>
      <c r="D1170" s="311">
        <v>2866859.56</v>
      </c>
      <c r="E1170" s="311">
        <v>165066.44</v>
      </c>
      <c r="F1170" s="311">
        <v>76291.03</v>
      </c>
      <c r="G1170" s="311">
        <v>5281.28</v>
      </c>
      <c r="H1170" s="311">
        <v>11501.69</v>
      </c>
      <c r="I1170" s="311">
        <v>3125000</v>
      </c>
    </row>
    <row r="1171" spans="2:9" x14ac:dyDescent="0.25">
      <c r="B1171" s="206" t="s">
        <v>555</v>
      </c>
      <c r="C1171" s="306">
        <v>5366.4</v>
      </c>
      <c r="D1171" s="306">
        <v>4923.1099999999997</v>
      </c>
      <c r="E1171" s="309">
        <v>283.45999999999998</v>
      </c>
      <c r="F1171" s="309">
        <v>131.01</v>
      </c>
      <c r="G1171" s="309">
        <v>9.07</v>
      </c>
      <c r="H1171" s="309">
        <v>19.75</v>
      </c>
      <c r="I1171" s="306">
        <v>5366.4</v>
      </c>
    </row>
    <row r="1172" spans="2:9" x14ac:dyDescent="0.25">
      <c r="B1172" s="206" t="s">
        <v>557</v>
      </c>
      <c r="C1172" s="306">
        <v>352714.29</v>
      </c>
      <c r="D1172" s="306">
        <v>323578.34999999998</v>
      </c>
      <c r="E1172" s="306">
        <v>18630.810000000001</v>
      </c>
      <c r="F1172" s="306">
        <v>8610.86</v>
      </c>
      <c r="G1172" s="309">
        <v>596.09</v>
      </c>
      <c r="H1172" s="306">
        <v>1298.18</v>
      </c>
      <c r="I1172" s="306">
        <v>352714.29</v>
      </c>
    </row>
    <row r="1173" spans="2:9" x14ac:dyDescent="0.25">
      <c r="B1173" s="206" t="s">
        <v>561</v>
      </c>
      <c r="C1173" s="306">
        <v>1850.25</v>
      </c>
      <c r="D1173" s="306">
        <v>1697.41</v>
      </c>
      <c r="E1173" s="309">
        <v>97.73</v>
      </c>
      <c r="F1173" s="309">
        <v>45.17</v>
      </c>
      <c r="G1173" s="309">
        <v>3.13</v>
      </c>
      <c r="H1173" s="309">
        <v>6.81</v>
      </c>
      <c r="I1173" s="306">
        <v>1850.25</v>
      </c>
    </row>
    <row r="1174" spans="2:9" x14ac:dyDescent="0.25">
      <c r="B1174" s="206" t="s">
        <v>563</v>
      </c>
      <c r="C1174" s="306">
        <v>64500</v>
      </c>
      <c r="D1174" s="306">
        <v>59171.98</v>
      </c>
      <c r="E1174" s="306">
        <v>3406.97</v>
      </c>
      <c r="F1174" s="306">
        <v>1574.65</v>
      </c>
      <c r="G1174" s="309">
        <v>109.01</v>
      </c>
      <c r="H1174" s="309">
        <v>237.39</v>
      </c>
      <c r="I1174" s="306">
        <v>64500</v>
      </c>
    </row>
    <row r="1175" spans="2:9" ht="26.25" x14ac:dyDescent="0.25">
      <c r="B1175" s="206" t="s">
        <v>565</v>
      </c>
      <c r="C1175" s="306">
        <v>151518</v>
      </c>
      <c r="D1175" s="306">
        <v>139001.85999999999</v>
      </c>
      <c r="E1175" s="306">
        <v>8003.37</v>
      </c>
      <c r="F1175" s="306">
        <v>3699.03</v>
      </c>
      <c r="G1175" s="309">
        <v>256.07</v>
      </c>
      <c r="H1175" s="309">
        <v>557.66999999999996</v>
      </c>
      <c r="I1175" s="306">
        <v>151518</v>
      </c>
    </row>
    <row r="1176" spans="2:9" x14ac:dyDescent="0.25">
      <c r="B1176" s="375" t="s">
        <v>888</v>
      </c>
      <c r="C1176" s="376">
        <v>-982142.86</v>
      </c>
      <c r="D1176" s="376">
        <v>-901013.01</v>
      </c>
      <c r="E1176" s="376">
        <v>-51878.02</v>
      </c>
      <c r="F1176" s="376">
        <v>-23977.18</v>
      </c>
      <c r="G1176" s="376">
        <v>-1659.83</v>
      </c>
      <c r="H1176" s="376">
        <v>-3614.82</v>
      </c>
      <c r="I1176" s="376">
        <v>-982142.86</v>
      </c>
    </row>
    <row r="1177" spans="2:9" x14ac:dyDescent="0.25">
      <c r="B1177" s="206" t="s">
        <v>567</v>
      </c>
      <c r="C1177" s="306">
        <v>2853695.15</v>
      </c>
      <c r="D1177" s="306">
        <v>2617965.83</v>
      </c>
      <c r="E1177" s="306">
        <v>150735.76999999999</v>
      </c>
      <c r="F1177" s="306">
        <v>69667.63</v>
      </c>
      <c r="G1177" s="306">
        <v>4822.7700000000004</v>
      </c>
      <c r="H1177" s="306">
        <v>10503.14</v>
      </c>
      <c r="I1177" s="306">
        <v>2853695.15</v>
      </c>
    </row>
    <row r="1178" spans="2:9" x14ac:dyDescent="0.25">
      <c r="B1178" s="215" t="s">
        <v>569</v>
      </c>
      <c r="C1178" s="307">
        <v>931120</v>
      </c>
      <c r="D1178" s="307">
        <v>854204.89</v>
      </c>
      <c r="E1178" s="307">
        <v>49182.93</v>
      </c>
      <c r="F1178" s="307">
        <v>22731.55</v>
      </c>
      <c r="G1178" s="307">
        <v>1573.6</v>
      </c>
      <c r="H1178" s="307">
        <v>3427.02</v>
      </c>
      <c r="I1178" s="307">
        <v>931120</v>
      </c>
    </row>
    <row r="1179" spans="2:9" x14ac:dyDescent="0.25">
      <c r="B1179" s="334" t="s">
        <v>442</v>
      </c>
      <c r="C1179" s="308"/>
      <c r="D1179" s="308"/>
      <c r="E1179" s="308"/>
      <c r="F1179" s="308"/>
      <c r="G1179" s="308"/>
      <c r="H1179" s="308"/>
      <c r="I1179" s="308"/>
    </row>
    <row r="1180" spans="2:9" x14ac:dyDescent="0.25">
      <c r="B1180" s="206" t="s">
        <v>572</v>
      </c>
      <c r="C1180" s="306">
        <v>931120</v>
      </c>
      <c r="D1180" s="306">
        <v>854204.89</v>
      </c>
      <c r="E1180" s="306">
        <v>49182.93</v>
      </c>
      <c r="F1180" s="306">
        <v>22731.55</v>
      </c>
      <c r="G1180" s="306">
        <v>1573.6</v>
      </c>
      <c r="H1180" s="306">
        <v>3427.02</v>
      </c>
      <c r="I1180" s="306">
        <v>931120</v>
      </c>
    </row>
    <row r="1181" spans="2:9" x14ac:dyDescent="0.25">
      <c r="B1181" s="338" t="s">
        <v>575</v>
      </c>
      <c r="C1181" s="312">
        <v>229186752.00999999</v>
      </c>
      <c r="D1181" s="312">
        <v>210254794.11000001</v>
      </c>
      <c r="E1181" s="312">
        <v>12105933.02</v>
      </c>
      <c r="F1181" s="312">
        <v>5595165.9699999997</v>
      </c>
      <c r="G1181" s="312">
        <v>387327.9</v>
      </c>
      <c r="H1181" s="312">
        <v>843531.01</v>
      </c>
      <c r="I1181" s="312">
        <v>229186752.00999999</v>
      </c>
    </row>
    <row r="1182" spans="2:9" x14ac:dyDescent="0.25">
      <c r="B1182"/>
      <c r="C1182"/>
      <c r="D1182"/>
    </row>
    <row r="1183" spans="2:9" x14ac:dyDescent="0.25">
      <c r="B1183"/>
      <c r="C1183"/>
      <c r="D1183"/>
    </row>
    <row r="1184" spans="2:9" x14ac:dyDescent="0.25">
      <c r="B1184"/>
      <c r="C1184"/>
      <c r="D1184" s="377">
        <f>D1115+D1176</f>
        <v>25044.01</v>
      </c>
      <c r="E1184" s="377">
        <f>E1115+E1176</f>
        <v>-49214.25</v>
      </c>
      <c r="F1184" s="377">
        <f>F1115+F1176</f>
        <v>23455.27</v>
      </c>
      <c r="G1184" s="377">
        <f>G1115+G1176</f>
        <v>751.12</v>
      </c>
      <c r="H1184" s="377">
        <f>H1115+H1176</f>
        <v>-36.159999999999997</v>
      </c>
      <c r="I1184" s="377">
        <f>SUM(D1184:H1184)</f>
        <v>-0.01</v>
      </c>
    </row>
    <row r="1186" spans="2:9" x14ac:dyDescent="0.25">
      <c r="B1186"/>
      <c r="C1186"/>
      <c r="D1186"/>
    </row>
    <row r="1187" spans="2:9" x14ac:dyDescent="0.25">
      <c r="B1187" s="472" t="s">
        <v>662</v>
      </c>
      <c r="C1187" s="472"/>
      <c r="D1187" s="472"/>
      <c r="E1187" s="472"/>
      <c r="F1187" s="472"/>
      <c r="G1187" s="472"/>
      <c r="H1187" s="472"/>
      <c r="I1187" s="472"/>
    </row>
    <row r="1188" spans="2:9" x14ac:dyDescent="0.25">
      <c r="B1188"/>
      <c r="C1188"/>
      <c r="D1188"/>
      <c r="F1188" s="271" t="s">
        <v>51</v>
      </c>
      <c r="G1188" s="271" t="s">
        <v>51</v>
      </c>
      <c r="H1188" s="271" t="s">
        <v>51</v>
      </c>
      <c r="I1188" s="271" t="s">
        <v>51</v>
      </c>
    </row>
    <row r="1189" spans="2:9" ht="22.5" x14ac:dyDescent="0.25">
      <c r="B1189" s="186" t="s">
        <v>2</v>
      </c>
      <c r="C1189" s="186" t="s">
        <v>653</v>
      </c>
      <c r="D1189" s="186" t="s">
        <v>5</v>
      </c>
      <c r="E1189" s="186" t="s">
        <v>664</v>
      </c>
      <c r="F1189" s="186" t="s">
        <v>665</v>
      </c>
      <c r="G1189" s="186" t="s">
        <v>666</v>
      </c>
      <c r="H1189" s="186" t="s">
        <v>667</v>
      </c>
      <c r="I1189" s="186" t="s">
        <v>668</v>
      </c>
    </row>
    <row r="1190" spans="2:9" x14ac:dyDescent="0.25">
      <c r="B1190" s="188"/>
      <c r="C1190" s="189"/>
      <c r="D1190" s="197"/>
      <c r="E1190" s="272">
        <v>100</v>
      </c>
      <c r="F1190" s="272">
        <v>0</v>
      </c>
      <c r="G1190" s="273">
        <v>48.9</v>
      </c>
      <c r="H1190" s="273">
        <v>44.7</v>
      </c>
      <c r="I1190" s="273">
        <v>6.4</v>
      </c>
    </row>
    <row r="1191" spans="2:9" ht="23.25" x14ac:dyDescent="0.25">
      <c r="B1191" s="274">
        <v>1</v>
      </c>
      <c r="C1191" s="189" t="s">
        <v>416</v>
      </c>
      <c r="D1191" s="188" t="s">
        <v>99</v>
      </c>
      <c r="E1191" s="262">
        <v>369465</v>
      </c>
      <c r="F1191" s="186"/>
      <c r="G1191" s="262">
        <v>180668</v>
      </c>
      <c r="H1191" s="262">
        <v>165151</v>
      </c>
      <c r="I1191" s="262">
        <v>23646</v>
      </c>
    </row>
    <row r="1192" spans="2:9" ht="45" x14ac:dyDescent="0.25">
      <c r="B1192" s="275">
        <v>1</v>
      </c>
      <c r="C1192" s="198" t="s">
        <v>134</v>
      </c>
      <c r="D1192" s="197" t="s">
        <v>99</v>
      </c>
      <c r="E1192" s="276">
        <v>64</v>
      </c>
      <c r="F1192" s="267"/>
      <c r="G1192" s="276">
        <v>31</v>
      </c>
      <c r="H1192" s="276">
        <v>28</v>
      </c>
      <c r="I1192" s="276">
        <v>4</v>
      </c>
    </row>
    <row r="1193" spans="2:9" x14ac:dyDescent="0.25">
      <c r="B1193" s="275">
        <v>2</v>
      </c>
      <c r="C1193" s="198" t="s">
        <v>669</v>
      </c>
      <c r="D1193" s="197" t="s">
        <v>99</v>
      </c>
      <c r="E1193" s="276">
        <v>3</v>
      </c>
      <c r="F1193" s="267"/>
      <c r="G1193" s="276">
        <v>2</v>
      </c>
      <c r="H1193" s="276">
        <v>2</v>
      </c>
      <c r="I1193" s="267"/>
    </row>
    <row r="1194" spans="2:9" ht="45" x14ac:dyDescent="0.25">
      <c r="B1194" s="275">
        <v>3</v>
      </c>
      <c r="C1194" s="198" t="s">
        <v>670</v>
      </c>
      <c r="D1194" s="197" t="s">
        <v>99</v>
      </c>
      <c r="E1194" s="276">
        <v>2</v>
      </c>
      <c r="F1194" s="267"/>
      <c r="G1194" s="276">
        <v>1</v>
      </c>
      <c r="H1194" s="276">
        <v>1</v>
      </c>
      <c r="I1194" s="267"/>
    </row>
    <row r="1195" spans="2:9" ht="45" x14ac:dyDescent="0.25">
      <c r="B1195" s="275">
        <v>4</v>
      </c>
      <c r="C1195" s="198" t="s">
        <v>671</v>
      </c>
      <c r="D1195" s="197" t="s">
        <v>99</v>
      </c>
      <c r="E1195" s="276">
        <v>1</v>
      </c>
      <c r="F1195" s="267"/>
      <c r="G1195" s="267"/>
      <c r="H1195" s="267"/>
      <c r="I1195" s="267"/>
    </row>
    <row r="1196" spans="2:9" ht="45" x14ac:dyDescent="0.25">
      <c r="B1196" s="275">
        <v>5</v>
      </c>
      <c r="C1196" s="198" t="s">
        <v>137</v>
      </c>
      <c r="D1196" s="197" t="s">
        <v>99</v>
      </c>
      <c r="E1196" s="267"/>
      <c r="F1196" s="267"/>
      <c r="G1196" s="267"/>
      <c r="H1196" s="267"/>
      <c r="I1196" s="267"/>
    </row>
    <row r="1197" spans="2:9" x14ac:dyDescent="0.25">
      <c r="B1197" s="275">
        <v>6</v>
      </c>
      <c r="C1197" s="198" t="s">
        <v>25</v>
      </c>
      <c r="D1197" s="197" t="s">
        <v>99</v>
      </c>
      <c r="E1197" s="267"/>
      <c r="F1197" s="267"/>
      <c r="G1197" s="267"/>
      <c r="H1197" s="267"/>
      <c r="I1197" s="267"/>
    </row>
    <row r="1198" spans="2:9" x14ac:dyDescent="0.25">
      <c r="B1198" s="275">
        <v>7</v>
      </c>
      <c r="C1198" s="198" t="s">
        <v>582</v>
      </c>
      <c r="D1198" s="197" t="s">
        <v>99</v>
      </c>
      <c r="E1198" s="267"/>
      <c r="F1198" s="267"/>
      <c r="G1198" s="267"/>
      <c r="H1198" s="267"/>
      <c r="I1198" s="267"/>
    </row>
    <row r="1199" spans="2:9" ht="90" x14ac:dyDescent="0.25">
      <c r="B1199" s="275">
        <v>8</v>
      </c>
      <c r="C1199" s="198" t="s">
        <v>584</v>
      </c>
      <c r="D1199" s="197" t="s">
        <v>99</v>
      </c>
      <c r="E1199" s="267"/>
      <c r="F1199" s="267"/>
      <c r="G1199" s="267"/>
      <c r="H1199" s="267"/>
      <c r="I1199" s="267"/>
    </row>
    <row r="1200" spans="2:9" ht="30" x14ac:dyDescent="0.25">
      <c r="B1200" s="275">
        <v>9</v>
      </c>
      <c r="C1200" s="198" t="s">
        <v>138</v>
      </c>
      <c r="D1200" s="197" t="s">
        <v>99</v>
      </c>
      <c r="E1200" s="267"/>
      <c r="F1200" s="267"/>
      <c r="G1200" s="267"/>
      <c r="H1200" s="267"/>
      <c r="I1200" s="267"/>
    </row>
    <row r="1201" spans="2:9" x14ac:dyDescent="0.25">
      <c r="B1201" s="275">
        <v>10</v>
      </c>
      <c r="C1201" s="189" t="s">
        <v>587</v>
      </c>
      <c r="D1201" s="188" t="s">
        <v>99</v>
      </c>
      <c r="E1201" s="262">
        <v>369395</v>
      </c>
      <c r="F1201" s="186"/>
      <c r="G1201" s="262">
        <v>180634</v>
      </c>
      <c r="H1201" s="262">
        <v>165120</v>
      </c>
      <c r="I1201" s="262">
        <v>23641</v>
      </c>
    </row>
    <row r="1202" spans="2:9" ht="23.25" x14ac:dyDescent="0.25">
      <c r="B1202" s="275">
        <v>11</v>
      </c>
      <c r="C1202" s="189" t="s">
        <v>589</v>
      </c>
      <c r="D1202" s="188" t="s">
        <v>99</v>
      </c>
      <c r="E1202" s="186"/>
      <c r="F1202" s="186"/>
      <c r="G1202" s="186"/>
      <c r="H1202" s="186"/>
      <c r="I1202" s="186"/>
    </row>
    <row r="1203" spans="2:9" x14ac:dyDescent="0.25">
      <c r="B1203" s="197"/>
      <c r="C1203" s="211" t="s">
        <v>673</v>
      </c>
      <c r="D1203" s="197"/>
      <c r="E1203" s="267"/>
      <c r="F1203" s="267"/>
      <c r="G1203" s="267"/>
      <c r="H1203" s="267"/>
      <c r="I1203" s="267"/>
    </row>
    <row r="1204" spans="2:9" ht="30" x14ac:dyDescent="0.25">
      <c r="B1204" s="197"/>
      <c r="C1204" s="198" t="s">
        <v>674</v>
      </c>
      <c r="D1204" s="197" t="s">
        <v>99</v>
      </c>
      <c r="E1204" s="267"/>
      <c r="F1204" s="267"/>
      <c r="G1204" s="267"/>
      <c r="H1204" s="267"/>
      <c r="I1204" s="267"/>
    </row>
    <row r="1205" spans="2:9" ht="30" x14ac:dyDescent="0.25">
      <c r="B1205" s="197"/>
      <c r="C1205" s="198" t="s">
        <v>675</v>
      </c>
      <c r="D1205" s="197" t="s">
        <v>99</v>
      </c>
      <c r="E1205" s="267"/>
      <c r="F1205" s="267"/>
      <c r="G1205" s="267"/>
      <c r="H1205" s="267"/>
      <c r="I1205" s="267"/>
    </row>
    <row r="1206" spans="2:9" ht="30" x14ac:dyDescent="0.25">
      <c r="B1206" s="197"/>
      <c r="C1206" s="198" t="s">
        <v>676</v>
      </c>
      <c r="D1206" s="197" t="s">
        <v>99</v>
      </c>
      <c r="E1206" s="267"/>
      <c r="F1206" s="267"/>
      <c r="G1206" s="267"/>
      <c r="H1206" s="267"/>
      <c r="I1206" s="267"/>
    </row>
    <row r="1207" spans="2:9" ht="30" x14ac:dyDescent="0.25">
      <c r="B1207" s="197"/>
      <c r="C1207" s="198" t="s">
        <v>677</v>
      </c>
      <c r="D1207" s="197" t="s">
        <v>99</v>
      </c>
      <c r="E1207" s="267"/>
      <c r="F1207" s="267"/>
      <c r="G1207" s="267"/>
      <c r="H1207" s="267"/>
      <c r="I1207" s="267"/>
    </row>
    <row r="1208" spans="2:9" x14ac:dyDescent="0.25">
      <c r="B1208" s="197"/>
      <c r="C1208" s="198" t="s">
        <v>678</v>
      </c>
      <c r="D1208" s="197" t="s">
        <v>99</v>
      </c>
      <c r="E1208" s="267"/>
      <c r="F1208" s="267"/>
      <c r="G1208" s="267"/>
      <c r="H1208" s="267"/>
      <c r="I1208" s="267"/>
    </row>
    <row r="1209" spans="2:9" ht="34.5" x14ac:dyDescent="0.25">
      <c r="B1209" s="275">
        <v>12</v>
      </c>
      <c r="C1209" s="189" t="s">
        <v>591</v>
      </c>
      <c r="D1209" s="188" t="s">
        <v>99</v>
      </c>
      <c r="E1209" s="186"/>
      <c r="F1209" s="186"/>
      <c r="G1209" s="186"/>
      <c r="H1209" s="186"/>
      <c r="I1209" s="186"/>
    </row>
    <row r="1210" spans="2:9" x14ac:dyDescent="0.25">
      <c r="B1210" s="197"/>
      <c r="C1210" s="211" t="s">
        <v>673</v>
      </c>
      <c r="D1210" s="197"/>
      <c r="E1210" s="267"/>
      <c r="F1210" s="267"/>
      <c r="G1210" s="267"/>
      <c r="H1210" s="267"/>
      <c r="I1210" s="267"/>
    </row>
    <row r="1211" spans="2:9" ht="60" x14ac:dyDescent="0.25">
      <c r="B1211" s="197"/>
      <c r="C1211" s="198" t="s">
        <v>679</v>
      </c>
      <c r="D1211" s="197" t="s">
        <v>99</v>
      </c>
      <c r="E1211" s="267"/>
      <c r="F1211" s="267"/>
      <c r="G1211" s="267"/>
      <c r="H1211" s="267"/>
      <c r="I1211" s="267"/>
    </row>
    <row r="1212" spans="2:9" ht="45" x14ac:dyDescent="0.25">
      <c r="B1212" s="197"/>
      <c r="C1212" s="198" t="s">
        <v>680</v>
      </c>
      <c r="D1212" s="197" t="s">
        <v>99</v>
      </c>
      <c r="E1212" s="267"/>
      <c r="F1212" s="267"/>
      <c r="G1212" s="267"/>
      <c r="H1212" s="267"/>
      <c r="I1212" s="267"/>
    </row>
    <row r="1213" spans="2:9" ht="45" x14ac:dyDescent="0.25">
      <c r="B1213" s="197"/>
      <c r="C1213" s="198" t="s">
        <v>681</v>
      </c>
      <c r="D1213" s="197" t="s">
        <v>99</v>
      </c>
      <c r="E1213" s="267"/>
      <c r="F1213" s="267"/>
      <c r="G1213" s="267"/>
      <c r="H1213" s="267"/>
      <c r="I1213" s="267"/>
    </row>
    <row r="1214" spans="2:9" ht="45" x14ac:dyDescent="0.25">
      <c r="B1214" s="197"/>
      <c r="C1214" s="198" t="s">
        <v>682</v>
      </c>
      <c r="D1214" s="197" t="s">
        <v>99</v>
      </c>
      <c r="E1214" s="267"/>
      <c r="F1214" s="267"/>
      <c r="G1214" s="267"/>
      <c r="H1214" s="267"/>
      <c r="I1214" s="267"/>
    </row>
    <row r="1215" spans="2:9" ht="45" x14ac:dyDescent="0.25">
      <c r="B1215" s="275">
        <v>13</v>
      </c>
      <c r="C1215" s="198" t="s">
        <v>594</v>
      </c>
      <c r="D1215" s="197" t="s">
        <v>99</v>
      </c>
      <c r="E1215" s="267"/>
      <c r="F1215" s="267"/>
      <c r="G1215" s="267"/>
      <c r="H1215" s="267"/>
      <c r="I1215" s="267"/>
    </row>
    <row r="1216" spans="2:9" ht="30" x14ac:dyDescent="0.25">
      <c r="B1216" s="275">
        <v>14</v>
      </c>
      <c r="C1216" s="198" t="s">
        <v>596</v>
      </c>
      <c r="D1216" s="197" t="s">
        <v>99</v>
      </c>
      <c r="E1216" s="267"/>
      <c r="F1216" s="267"/>
      <c r="G1216" s="267"/>
      <c r="H1216" s="267"/>
      <c r="I1216" s="267"/>
    </row>
    <row r="1217" spans="2:9" ht="45" x14ac:dyDescent="0.25">
      <c r="B1217" s="275">
        <v>15</v>
      </c>
      <c r="C1217" s="198" t="s">
        <v>600</v>
      </c>
      <c r="D1217" s="197" t="s">
        <v>99</v>
      </c>
      <c r="E1217" s="267"/>
      <c r="F1217" s="267"/>
      <c r="G1217" s="267"/>
      <c r="H1217" s="267"/>
      <c r="I1217" s="267"/>
    </row>
    <row r="1218" spans="2:9" ht="23.25" x14ac:dyDescent="0.25">
      <c r="B1218" s="275">
        <v>16</v>
      </c>
      <c r="C1218" s="189" t="s">
        <v>598</v>
      </c>
      <c r="D1218" s="197" t="s">
        <v>99</v>
      </c>
      <c r="E1218" s="262">
        <v>352728</v>
      </c>
      <c r="F1218" s="186"/>
      <c r="G1218" s="262">
        <v>172484</v>
      </c>
      <c r="H1218" s="262">
        <v>157669</v>
      </c>
      <c r="I1218" s="262">
        <v>22575</v>
      </c>
    </row>
    <row r="1219" spans="2:9" x14ac:dyDescent="0.25">
      <c r="B1219" s="197"/>
      <c r="C1219" s="211" t="s">
        <v>360</v>
      </c>
      <c r="D1219" s="197"/>
      <c r="E1219" s="267"/>
      <c r="F1219" s="267"/>
      <c r="G1219" s="267"/>
      <c r="H1219" s="267"/>
      <c r="I1219" s="267"/>
    </row>
    <row r="1220" spans="2:9" ht="45" x14ac:dyDescent="0.25">
      <c r="B1220" s="197"/>
      <c r="C1220" s="198" t="s">
        <v>683</v>
      </c>
      <c r="D1220" s="197" t="s">
        <v>99</v>
      </c>
      <c r="E1220" s="276">
        <v>92</v>
      </c>
      <c r="F1220" s="267"/>
      <c r="G1220" s="276">
        <v>45</v>
      </c>
      <c r="H1220" s="276">
        <v>41</v>
      </c>
      <c r="I1220" s="276">
        <v>6</v>
      </c>
    </row>
    <row r="1221" spans="2:9" x14ac:dyDescent="0.25">
      <c r="B1221" s="197"/>
      <c r="C1221" s="198" t="s">
        <v>684</v>
      </c>
      <c r="D1221" s="197" t="s">
        <v>99</v>
      </c>
      <c r="E1221" s="276">
        <v>115</v>
      </c>
      <c r="F1221" s="267"/>
      <c r="G1221" s="276">
        <v>56</v>
      </c>
      <c r="H1221" s="276">
        <v>51</v>
      </c>
      <c r="I1221" s="276">
        <v>7</v>
      </c>
    </row>
    <row r="1222" spans="2:9" ht="30" x14ac:dyDescent="0.25">
      <c r="B1222" s="197"/>
      <c r="C1222" s="198" t="s">
        <v>685</v>
      </c>
      <c r="D1222" s="197" t="s">
        <v>99</v>
      </c>
      <c r="E1222" s="266">
        <v>352521</v>
      </c>
      <c r="F1222" s="267"/>
      <c r="G1222" s="266">
        <v>172383</v>
      </c>
      <c r="H1222" s="266">
        <v>157577</v>
      </c>
      <c r="I1222" s="266">
        <v>22561</v>
      </c>
    </row>
    <row r="1223" spans="2:9" ht="23.25" x14ac:dyDescent="0.25">
      <c r="B1223" s="197"/>
      <c r="C1223" s="211" t="s">
        <v>686</v>
      </c>
      <c r="D1223" s="197"/>
      <c r="E1223" s="267"/>
      <c r="F1223" s="267"/>
      <c r="G1223" s="267"/>
      <c r="H1223" s="267"/>
      <c r="I1223" s="267"/>
    </row>
    <row r="1224" spans="2:9" ht="60" x14ac:dyDescent="0.25">
      <c r="B1224" s="197"/>
      <c r="C1224" s="198" t="s">
        <v>687</v>
      </c>
      <c r="D1224" s="197" t="s">
        <v>99</v>
      </c>
      <c r="E1224" s="266">
        <v>352521</v>
      </c>
      <c r="F1224" s="267"/>
      <c r="G1224" s="266">
        <v>172383</v>
      </c>
      <c r="H1224" s="266">
        <v>157577</v>
      </c>
      <c r="I1224" s="266">
        <v>22561</v>
      </c>
    </row>
    <row r="1225" spans="2:9" ht="23.25" x14ac:dyDescent="0.25">
      <c r="B1225" s="275">
        <v>17</v>
      </c>
      <c r="C1225" s="189" t="s">
        <v>688</v>
      </c>
      <c r="D1225" s="188" t="s">
        <v>99</v>
      </c>
      <c r="E1225" s="262">
        <v>16667</v>
      </c>
      <c r="F1225" s="186"/>
      <c r="G1225" s="262">
        <v>8150</v>
      </c>
      <c r="H1225" s="262">
        <v>7450</v>
      </c>
      <c r="I1225" s="262">
        <v>1067</v>
      </c>
    </row>
    <row r="1226" spans="2:9" ht="45" x14ac:dyDescent="0.25">
      <c r="B1226" s="197"/>
      <c r="C1226" s="198" t="s">
        <v>689</v>
      </c>
      <c r="D1226" s="197" t="s">
        <v>99</v>
      </c>
      <c r="E1226" s="267"/>
      <c r="F1226" s="267"/>
      <c r="G1226" s="267"/>
      <c r="H1226" s="267"/>
      <c r="I1226" s="267"/>
    </row>
    <row r="1227" spans="2:9" ht="30" x14ac:dyDescent="0.25">
      <c r="B1227" s="197"/>
      <c r="C1227" s="198" t="s">
        <v>690</v>
      </c>
      <c r="D1227" s="197" t="s">
        <v>99</v>
      </c>
      <c r="E1227" s="266">
        <v>16667</v>
      </c>
      <c r="F1227" s="267"/>
      <c r="G1227" s="266">
        <v>8150</v>
      </c>
      <c r="H1227" s="266">
        <v>7450</v>
      </c>
      <c r="I1227" s="266">
        <v>1067</v>
      </c>
    </row>
  </sheetData>
  <mergeCells count="43">
    <mergeCell ref="G193:G196"/>
    <mergeCell ref="H193:H194"/>
    <mergeCell ref="H195:H196"/>
    <mergeCell ref="A2:D2"/>
    <mergeCell ref="A3:D3"/>
    <mergeCell ref="A5:A7"/>
    <mergeCell ref="B5:B7"/>
    <mergeCell ref="C5:C7"/>
    <mergeCell ref="G8:G11"/>
    <mergeCell ref="H8:H9"/>
    <mergeCell ref="H10:H11"/>
    <mergeCell ref="A188:D188"/>
    <mergeCell ref="A189:D189"/>
    <mergeCell ref="A190:D190"/>
    <mergeCell ref="K240:R240"/>
    <mergeCell ref="A346:D346"/>
    <mergeCell ref="A347:D347"/>
    <mergeCell ref="A348:D348"/>
    <mergeCell ref="G353:G356"/>
    <mergeCell ref="H353:H354"/>
    <mergeCell ref="H355:H356"/>
    <mergeCell ref="A504:D504"/>
    <mergeCell ref="A505:D505"/>
    <mergeCell ref="A506:D506"/>
    <mergeCell ref="G510:G513"/>
    <mergeCell ref="H510:H511"/>
    <mergeCell ref="H512:H513"/>
    <mergeCell ref="A661:D661"/>
    <mergeCell ref="A662:D662"/>
    <mergeCell ref="A663:D663"/>
    <mergeCell ref="G667:G670"/>
    <mergeCell ref="H667:H668"/>
    <mergeCell ref="H669:H670"/>
    <mergeCell ref="B920:D920"/>
    <mergeCell ref="B921:D921"/>
    <mergeCell ref="C1029:C1030"/>
    <mergeCell ref="B1187:I1187"/>
    <mergeCell ref="A754:D754"/>
    <mergeCell ref="A755:D755"/>
    <mergeCell ref="A756:D756"/>
    <mergeCell ref="G760:G763"/>
    <mergeCell ref="H760:H761"/>
    <mergeCell ref="H762:H76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zoomScale="90" zoomScaleNormal="90" workbookViewId="0">
      <pane xSplit="2" ySplit="8" topLeftCell="BE9" activePane="bottomRight" state="frozen"/>
      <selection activeCell="D775" sqref="D775"/>
      <selection pane="topRight" activeCell="D775" sqref="D775"/>
      <selection pane="bottomLeft" activeCell="D775" sqref="D775"/>
      <selection pane="bottomRight" activeCell="D775" sqref="D775"/>
    </sheetView>
  </sheetViews>
  <sheetFormatPr defaultColWidth="12.7109375" defaultRowHeight="12.75" x14ac:dyDescent="0.2"/>
  <cols>
    <col min="1" max="1" width="30.140625" style="379" customWidth="1"/>
    <col min="2" max="2" width="8.42578125" style="379" customWidth="1"/>
    <col min="3" max="3" width="15.7109375" style="379" customWidth="1"/>
    <col min="4" max="4" width="11.140625" style="379" customWidth="1"/>
    <col min="5" max="5" width="17.42578125" style="379" customWidth="1"/>
    <col min="6" max="6" width="15.7109375" style="379" customWidth="1"/>
    <col min="7" max="7" width="11.140625" style="379" customWidth="1"/>
    <col min="8" max="8" width="17.42578125" style="379" customWidth="1"/>
    <col min="9" max="9" width="15.7109375" style="379" customWidth="1"/>
    <col min="10" max="10" width="11.140625" style="379" customWidth="1"/>
    <col min="11" max="11" width="17.42578125" style="379" customWidth="1"/>
    <col min="12" max="12" width="15.7109375" style="379" customWidth="1"/>
    <col min="13" max="13" width="11.140625" style="379" customWidth="1"/>
    <col min="14" max="14" width="17.42578125" style="379" customWidth="1"/>
    <col min="15" max="15" width="15.7109375" style="379" customWidth="1"/>
    <col min="16" max="16" width="11.140625" style="379" customWidth="1"/>
    <col min="17" max="17" width="17.42578125" style="379" customWidth="1"/>
    <col min="18" max="18" width="15.7109375" style="379" customWidth="1"/>
    <col min="19" max="19" width="11.140625" style="379" customWidth="1"/>
    <col min="20" max="20" width="17.42578125" style="379" customWidth="1"/>
    <col min="21" max="21" width="15.7109375" style="379" customWidth="1"/>
    <col min="22" max="22" width="11.140625" style="379" customWidth="1"/>
    <col min="23" max="23" width="17.42578125" style="379" customWidth="1"/>
    <col min="24" max="24" width="15.7109375" style="379" customWidth="1"/>
    <col min="25" max="25" width="11.140625" style="379" customWidth="1"/>
    <col min="26" max="26" width="17.42578125" style="379" customWidth="1"/>
    <col min="27" max="27" width="15.7109375" style="379" customWidth="1"/>
    <col min="28" max="28" width="11.140625" style="379" customWidth="1"/>
    <col min="29" max="29" width="17.42578125" style="379" customWidth="1"/>
    <col min="30" max="30" width="15.7109375" style="379" customWidth="1"/>
    <col min="31" max="31" width="11.140625" style="379" customWidth="1"/>
    <col min="32" max="32" width="17.42578125" style="379" customWidth="1"/>
    <col min="33" max="33" width="15.7109375" style="379" customWidth="1"/>
    <col min="34" max="34" width="11.140625" style="379" customWidth="1"/>
    <col min="35" max="35" width="17.42578125" style="379" customWidth="1"/>
    <col min="36" max="36" width="15.7109375" style="379" customWidth="1"/>
    <col min="37" max="37" width="11.140625" style="379" customWidth="1"/>
    <col min="38" max="38" width="17.42578125" style="379" customWidth="1"/>
    <col min="39" max="39" width="15.7109375" style="379" customWidth="1"/>
    <col min="40" max="40" width="11.140625" style="379" customWidth="1"/>
    <col min="41" max="41" width="17.42578125" style="379" customWidth="1"/>
    <col min="42" max="42" width="15.7109375" style="379" customWidth="1"/>
    <col min="43" max="43" width="11.140625" style="379" customWidth="1"/>
    <col min="44" max="44" width="17.42578125" style="379" customWidth="1"/>
    <col min="45" max="45" width="15.7109375" style="379" customWidth="1"/>
    <col min="46" max="46" width="12.140625" style="379" bestFit="1" customWidth="1"/>
    <col min="47" max="47" width="17.42578125" style="379" customWidth="1"/>
    <col min="48" max="48" width="15.7109375" style="379" customWidth="1"/>
    <col min="49" max="49" width="10.28515625" style="379" customWidth="1"/>
    <col min="50" max="50" width="17.42578125" style="379" customWidth="1"/>
    <col min="51" max="51" width="15.7109375" style="379" customWidth="1"/>
    <col min="52" max="52" width="11.140625" style="379" customWidth="1"/>
    <col min="53" max="53" width="17.42578125" style="379" customWidth="1"/>
    <col min="54" max="54" width="15.7109375" style="379" customWidth="1"/>
    <col min="55" max="55" width="11.140625" style="379" customWidth="1"/>
    <col min="56" max="56" width="17.42578125" style="379" customWidth="1"/>
    <col min="57" max="57" width="15.7109375" style="379" customWidth="1"/>
    <col min="58" max="58" width="11.140625" style="379" customWidth="1"/>
    <col min="59" max="59" width="17.42578125" style="379" customWidth="1"/>
    <col min="60" max="60" width="15.7109375" style="379" customWidth="1"/>
    <col min="61" max="61" width="11.140625" style="379" customWidth="1"/>
    <col min="62" max="62" width="17.42578125" style="379" customWidth="1"/>
    <col min="63" max="63" width="13.42578125" style="379" customWidth="1"/>
    <col min="64" max="64" width="16.85546875" style="379" customWidth="1"/>
    <col min="65" max="65" width="12.7109375" style="379" customWidth="1"/>
    <col min="66" max="256" width="12.7109375" style="379"/>
    <col min="257" max="257" width="30.140625" style="379" customWidth="1"/>
    <col min="258" max="258" width="8.42578125" style="379" customWidth="1"/>
    <col min="259" max="259" width="15.7109375" style="379" customWidth="1"/>
    <col min="260" max="260" width="11.140625" style="379" customWidth="1"/>
    <col min="261" max="261" width="17.42578125" style="379" customWidth="1"/>
    <col min="262" max="262" width="15.7109375" style="379" customWidth="1"/>
    <col min="263" max="263" width="11.140625" style="379" customWidth="1"/>
    <col min="264" max="264" width="17.42578125" style="379" customWidth="1"/>
    <col min="265" max="265" width="15.7109375" style="379" customWidth="1"/>
    <col min="266" max="266" width="11.140625" style="379" customWidth="1"/>
    <col min="267" max="267" width="17.42578125" style="379" customWidth="1"/>
    <col min="268" max="268" width="15.7109375" style="379" customWidth="1"/>
    <col min="269" max="269" width="11.140625" style="379" customWidth="1"/>
    <col min="270" max="270" width="17.42578125" style="379" customWidth="1"/>
    <col min="271" max="271" width="15.7109375" style="379" customWidth="1"/>
    <col min="272" max="272" width="11.140625" style="379" customWidth="1"/>
    <col min="273" max="273" width="17.42578125" style="379" customWidth="1"/>
    <col min="274" max="274" width="15.7109375" style="379" customWidth="1"/>
    <col min="275" max="275" width="11.140625" style="379" customWidth="1"/>
    <col min="276" max="276" width="17.42578125" style="379" customWidth="1"/>
    <col min="277" max="277" width="15.7109375" style="379" customWidth="1"/>
    <col min="278" max="278" width="11.140625" style="379" customWidth="1"/>
    <col min="279" max="279" width="17.42578125" style="379" customWidth="1"/>
    <col min="280" max="280" width="15.7109375" style="379" customWidth="1"/>
    <col min="281" max="281" width="11.140625" style="379" customWidth="1"/>
    <col min="282" max="282" width="17.42578125" style="379" customWidth="1"/>
    <col min="283" max="283" width="15.7109375" style="379" customWidth="1"/>
    <col min="284" max="284" width="11.140625" style="379" customWidth="1"/>
    <col min="285" max="285" width="17.42578125" style="379" customWidth="1"/>
    <col min="286" max="286" width="15.7109375" style="379" customWidth="1"/>
    <col min="287" max="287" width="11.140625" style="379" customWidth="1"/>
    <col min="288" max="288" width="17.42578125" style="379" customWidth="1"/>
    <col min="289" max="289" width="15.7109375" style="379" customWidth="1"/>
    <col min="290" max="290" width="11.140625" style="379" customWidth="1"/>
    <col min="291" max="291" width="17.42578125" style="379" customWidth="1"/>
    <col min="292" max="292" width="15.7109375" style="379" customWidth="1"/>
    <col min="293" max="293" width="11.140625" style="379" customWidth="1"/>
    <col min="294" max="294" width="17.42578125" style="379" customWidth="1"/>
    <col min="295" max="295" width="15.7109375" style="379" customWidth="1"/>
    <col min="296" max="296" width="11.140625" style="379" customWidth="1"/>
    <col min="297" max="297" width="17.42578125" style="379" customWidth="1"/>
    <col min="298" max="298" width="15.7109375" style="379" customWidth="1"/>
    <col min="299" max="299" width="11.140625" style="379" customWidth="1"/>
    <col min="300" max="300" width="17.42578125" style="379" customWidth="1"/>
    <col min="301" max="301" width="15.7109375" style="379" customWidth="1"/>
    <col min="302" max="302" width="12.140625" style="379" bestFit="1" customWidth="1"/>
    <col min="303" max="303" width="17.42578125" style="379" customWidth="1"/>
    <col min="304" max="304" width="15.7109375" style="379" customWidth="1"/>
    <col min="305" max="305" width="10.28515625" style="379" customWidth="1"/>
    <col min="306" max="306" width="17.42578125" style="379" customWidth="1"/>
    <col min="307" max="307" width="15.7109375" style="379" customWidth="1"/>
    <col min="308" max="308" width="11.140625" style="379" customWidth="1"/>
    <col min="309" max="309" width="17.42578125" style="379" customWidth="1"/>
    <col min="310" max="310" width="15.7109375" style="379" customWidth="1"/>
    <col min="311" max="311" width="11.140625" style="379" customWidth="1"/>
    <col min="312" max="312" width="17.42578125" style="379" customWidth="1"/>
    <col min="313" max="313" width="15.7109375" style="379" customWidth="1"/>
    <col min="314" max="314" width="11.140625" style="379" customWidth="1"/>
    <col min="315" max="315" width="17.42578125" style="379" customWidth="1"/>
    <col min="316" max="316" width="15.7109375" style="379" customWidth="1"/>
    <col min="317" max="317" width="11.140625" style="379" customWidth="1"/>
    <col min="318" max="318" width="17.42578125" style="379" customWidth="1"/>
    <col min="319" max="319" width="13.42578125" style="379" customWidth="1"/>
    <col min="320" max="320" width="16.85546875" style="379" customWidth="1"/>
    <col min="321" max="321" width="12.7109375" style="379" customWidth="1"/>
    <col min="322" max="512" width="12.7109375" style="379"/>
    <col min="513" max="513" width="30.140625" style="379" customWidth="1"/>
    <col min="514" max="514" width="8.42578125" style="379" customWidth="1"/>
    <col min="515" max="515" width="15.7109375" style="379" customWidth="1"/>
    <col min="516" max="516" width="11.140625" style="379" customWidth="1"/>
    <col min="517" max="517" width="17.42578125" style="379" customWidth="1"/>
    <col min="518" max="518" width="15.7109375" style="379" customWidth="1"/>
    <col min="519" max="519" width="11.140625" style="379" customWidth="1"/>
    <col min="520" max="520" width="17.42578125" style="379" customWidth="1"/>
    <col min="521" max="521" width="15.7109375" style="379" customWidth="1"/>
    <col min="522" max="522" width="11.140625" style="379" customWidth="1"/>
    <col min="523" max="523" width="17.42578125" style="379" customWidth="1"/>
    <col min="524" max="524" width="15.7109375" style="379" customWidth="1"/>
    <col min="525" max="525" width="11.140625" style="379" customWidth="1"/>
    <col min="526" max="526" width="17.42578125" style="379" customWidth="1"/>
    <col min="527" max="527" width="15.7109375" style="379" customWidth="1"/>
    <col min="528" max="528" width="11.140625" style="379" customWidth="1"/>
    <col min="529" max="529" width="17.42578125" style="379" customWidth="1"/>
    <col min="530" max="530" width="15.7109375" style="379" customWidth="1"/>
    <col min="531" max="531" width="11.140625" style="379" customWidth="1"/>
    <col min="532" max="532" width="17.42578125" style="379" customWidth="1"/>
    <col min="533" max="533" width="15.7109375" style="379" customWidth="1"/>
    <col min="534" max="534" width="11.140625" style="379" customWidth="1"/>
    <col min="535" max="535" width="17.42578125" style="379" customWidth="1"/>
    <col min="536" max="536" width="15.7109375" style="379" customWidth="1"/>
    <col min="537" max="537" width="11.140625" style="379" customWidth="1"/>
    <col min="538" max="538" width="17.42578125" style="379" customWidth="1"/>
    <col min="539" max="539" width="15.7109375" style="379" customWidth="1"/>
    <col min="540" max="540" width="11.140625" style="379" customWidth="1"/>
    <col min="541" max="541" width="17.42578125" style="379" customWidth="1"/>
    <col min="542" max="542" width="15.7109375" style="379" customWidth="1"/>
    <col min="543" max="543" width="11.140625" style="379" customWidth="1"/>
    <col min="544" max="544" width="17.42578125" style="379" customWidth="1"/>
    <col min="545" max="545" width="15.7109375" style="379" customWidth="1"/>
    <col min="546" max="546" width="11.140625" style="379" customWidth="1"/>
    <col min="547" max="547" width="17.42578125" style="379" customWidth="1"/>
    <col min="548" max="548" width="15.7109375" style="379" customWidth="1"/>
    <col min="549" max="549" width="11.140625" style="379" customWidth="1"/>
    <col min="550" max="550" width="17.42578125" style="379" customWidth="1"/>
    <col min="551" max="551" width="15.7109375" style="379" customWidth="1"/>
    <col min="552" max="552" width="11.140625" style="379" customWidth="1"/>
    <col min="553" max="553" width="17.42578125" style="379" customWidth="1"/>
    <col min="554" max="554" width="15.7109375" style="379" customWidth="1"/>
    <col min="555" max="555" width="11.140625" style="379" customWidth="1"/>
    <col min="556" max="556" width="17.42578125" style="379" customWidth="1"/>
    <col min="557" max="557" width="15.7109375" style="379" customWidth="1"/>
    <col min="558" max="558" width="12.140625" style="379" bestFit="1" customWidth="1"/>
    <col min="559" max="559" width="17.42578125" style="379" customWidth="1"/>
    <col min="560" max="560" width="15.7109375" style="379" customWidth="1"/>
    <col min="561" max="561" width="10.28515625" style="379" customWidth="1"/>
    <col min="562" max="562" width="17.42578125" style="379" customWidth="1"/>
    <col min="563" max="563" width="15.7109375" style="379" customWidth="1"/>
    <col min="564" max="564" width="11.140625" style="379" customWidth="1"/>
    <col min="565" max="565" width="17.42578125" style="379" customWidth="1"/>
    <col min="566" max="566" width="15.7109375" style="379" customWidth="1"/>
    <col min="567" max="567" width="11.140625" style="379" customWidth="1"/>
    <col min="568" max="568" width="17.42578125" style="379" customWidth="1"/>
    <col min="569" max="569" width="15.7109375" style="379" customWidth="1"/>
    <col min="570" max="570" width="11.140625" style="379" customWidth="1"/>
    <col min="571" max="571" width="17.42578125" style="379" customWidth="1"/>
    <col min="572" max="572" width="15.7109375" style="379" customWidth="1"/>
    <col min="573" max="573" width="11.140625" style="379" customWidth="1"/>
    <col min="574" max="574" width="17.42578125" style="379" customWidth="1"/>
    <col min="575" max="575" width="13.42578125" style="379" customWidth="1"/>
    <col min="576" max="576" width="16.85546875" style="379" customWidth="1"/>
    <col min="577" max="577" width="12.7109375" style="379" customWidth="1"/>
    <col min="578" max="768" width="12.7109375" style="379"/>
    <col min="769" max="769" width="30.140625" style="379" customWidth="1"/>
    <col min="770" max="770" width="8.42578125" style="379" customWidth="1"/>
    <col min="771" max="771" width="15.7109375" style="379" customWidth="1"/>
    <col min="772" max="772" width="11.140625" style="379" customWidth="1"/>
    <col min="773" max="773" width="17.42578125" style="379" customWidth="1"/>
    <col min="774" max="774" width="15.7109375" style="379" customWidth="1"/>
    <col min="775" max="775" width="11.140625" style="379" customWidth="1"/>
    <col min="776" max="776" width="17.42578125" style="379" customWidth="1"/>
    <col min="777" max="777" width="15.7109375" style="379" customWidth="1"/>
    <col min="778" max="778" width="11.140625" style="379" customWidth="1"/>
    <col min="779" max="779" width="17.42578125" style="379" customWidth="1"/>
    <col min="780" max="780" width="15.7109375" style="379" customWidth="1"/>
    <col min="781" max="781" width="11.140625" style="379" customWidth="1"/>
    <col min="782" max="782" width="17.42578125" style="379" customWidth="1"/>
    <col min="783" max="783" width="15.7109375" style="379" customWidth="1"/>
    <col min="784" max="784" width="11.140625" style="379" customWidth="1"/>
    <col min="785" max="785" width="17.42578125" style="379" customWidth="1"/>
    <col min="786" max="786" width="15.7109375" style="379" customWidth="1"/>
    <col min="787" max="787" width="11.140625" style="379" customWidth="1"/>
    <col min="788" max="788" width="17.42578125" style="379" customWidth="1"/>
    <col min="789" max="789" width="15.7109375" style="379" customWidth="1"/>
    <col min="790" max="790" width="11.140625" style="379" customWidth="1"/>
    <col min="791" max="791" width="17.42578125" style="379" customWidth="1"/>
    <col min="792" max="792" width="15.7109375" style="379" customWidth="1"/>
    <col min="793" max="793" width="11.140625" style="379" customWidth="1"/>
    <col min="794" max="794" width="17.42578125" style="379" customWidth="1"/>
    <col min="795" max="795" width="15.7109375" style="379" customWidth="1"/>
    <col min="796" max="796" width="11.140625" style="379" customWidth="1"/>
    <col min="797" max="797" width="17.42578125" style="379" customWidth="1"/>
    <col min="798" max="798" width="15.7109375" style="379" customWidth="1"/>
    <col min="799" max="799" width="11.140625" style="379" customWidth="1"/>
    <col min="800" max="800" width="17.42578125" style="379" customWidth="1"/>
    <col min="801" max="801" width="15.7109375" style="379" customWidth="1"/>
    <col min="802" max="802" width="11.140625" style="379" customWidth="1"/>
    <col min="803" max="803" width="17.42578125" style="379" customWidth="1"/>
    <col min="804" max="804" width="15.7109375" style="379" customWidth="1"/>
    <col min="805" max="805" width="11.140625" style="379" customWidth="1"/>
    <col min="806" max="806" width="17.42578125" style="379" customWidth="1"/>
    <col min="807" max="807" width="15.7109375" style="379" customWidth="1"/>
    <col min="808" max="808" width="11.140625" style="379" customWidth="1"/>
    <col min="809" max="809" width="17.42578125" style="379" customWidth="1"/>
    <col min="810" max="810" width="15.7109375" style="379" customWidth="1"/>
    <col min="811" max="811" width="11.140625" style="379" customWidth="1"/>
    <col min="812" max="812" width="17.42578125" style="379" customWidth="1"/>
    <col min="813" max="813" width="15.7109375" style="379" customWidth="1"/>
    <col min="814" max="814" width="12.140625" style="379" bestFit="1" customWidth="1"/>
    <col min="815" max="815" width="17.42578125" style="379" customWidth="1"/>
    <col min="816" max="816" width="15.7109375" style="379" customWidth="1"/>
    <col min="817" max="817" width="10.28515625" style="379" customWidth="1"/>
    <col min="818" max="818" width="17.42578125" style="379" customWidth="1"/>
    <col min="819" max="819" width="15.7109375" style="379" customWidth="1"/>
    <col min="820" max="820" width="11.140625" style="379" customWidth="1"/>
    <col min="821" max="821" width="17.42578125" style="379" customWidth="1"/>
    <col min="822" max="822" width="15.7109375" style="379" customWidth="1"/>
    <col min="823" max="823" width="11.140625" style="379" customWidth="1"/>
    <col min="824" max="824" width="17.42578125" style="379" customWidth="1"/>
    <col min="825" max="825" width="15.7109375" style="379" customWidth="1"/>
    <col min="826" max="826" width="11.140625" style="379" customWidth="1"/>
    <col min="827" max="827" width="17.42578125" style="379" customWidth="1"/>
    <col min="828" max="828" width="15.7109375" style="379" customWidth="1"/>
    <col min="829" max="829" width="11.140625" style="379" customWidth="1"/>
    <col min="830" max="830" width="17.42578125" style="379" customWidth="1"/>
    <col min="831" max="831" width="13.42578125" style="379" customWidth="1"/>
    <col min="832" max="832" width="16.85546875" style="379" customWidth="1"/>
    <col min="833" max="833" width="12.7109375" style="379" customWidth="1"/>
    <col min="834" max="1024" width="12.7109375" style="379"/>
    <col min="1025" max="1025" width="30.140625" style="379" customWidth="1"/>
    <col min="1026" max="1026" width="8.42578125" style="379" customWidth="1"/>
    <col min="1027" max="1027" width="15.7109375" style="379" customWidth="1"/>
    <col min="1028" max="1028" width="11.140625" style="379" customWidth="1"/>
    <col min="1029" max="1029" width="17.42578125" style="379" customWidth="1"/>
    <col min="1030" max="1030" width="15.7109375" style="379" customWidth="1"/>
    <col min="1031" max="1031" width="11.140625" style="379" customWidth="1"/>
    <col min="1032" max="1032" width="17.42578125" style="379" customWidth="1"/>
    <col min="1033" max="1033" width="15.7109375" style="379" customWidth="1"/>
    <col min="1034" max="1034" width="11.140625" style="379" customWidth="1"/>
    <col min="1035" max="1035" width="17.42578125" style="379" customWidth="1"/>
    <col min="1036" max="1036" width="15.7109375" style="379" customWidth="1"/>
    <col min="1037" max="1037" width="11.140625" style="379" customWidth="1"/>
    <col min="1038" max="1038" width="17.42578125" style="379" customWidth="1"/>
    <col min="1039" max="1039" width="15.7109375" style="379" customWidth="1"/>
    <col min="1040" max="1040" width="11.140625" style="379" customWidth="1"/>
    <col min="1041" max="1041" width="17.42578125" style="379" customWidth="1"/>
    <col min="1042" max="1042" width="15.7109375" style="379" customWidth="1"/>
    <col min="1043" max="1043" width="11.140625" style="379" customWidth="1"/>
    <col min="1044" max="1044" width="17.42578125" style="379" customWidth="1"/>
    <col min="1045" max="1045" width="15.7109375" style="379" customWidth="1"/>
    <col min="1046" max="1046" width="11.140625" style="379" customWidth="1"/>
    <col min="1047" max="1047" width="17.42578125" style="379" customWidth="1"/>
    <col min="1048" max="1048" width="15.7109375" style="379" customWidth="1"/>
    <col min="1049" max="1049" width="11.140625" style="379" customWidth="1"/>
    <col min="1050" max="1050" width="17.42578125" style="379" customWidth="1"/>
    <col min="1051" max="1051" width="15.7109375" style="379" customWidth="1"/>
    <col min="1052" max="1052" width="11.140625" style="379" customWidth="1"/>
    <col min="1053" max="1053" width="17.42578125" style="379" customWidth="1"/>
    <col min="1054" max="1054" width="15.7109375" style="379" customWidth="1"/>
    <col min="1055" max="1055" width="11.140625" style="379" customWidth="1"/>
    <col min="1056" max="1056" width="17.42578125" style="379" customWidth="1"/>
    <col min="1057" max="1057" width="15.7109375" style="379" customWidth="1"/>
    <col min="1058" max="1058" width="11.140625" style="379" customWidth="1"/>
    <col min="1059" max="1059" width="17.42578125" style="379" customWidth="1"/>
    <col min="1060" max="1060" width="15.7109375" style="379" customWidth="1"/>
    <col min="1061" max="1061" width="11.140625" style="379" customWidth="1"/>
    <col min="1062" max="1062" width="17.42578125" style="379" customWidth="1"/>
    <col min="1063" max="1063" width="15.7109375" style="379" customWidth="1"/>
    <col min="1064" max="1064" width="11.140625" style="379" customWidth="1"/>
    <col min="1065" max="1065" width="17.42578125" style="379" customWidth="1"/>
    <col min="1066" max="1066" width="15.7109375" style="379" customWidth="1"/>
    <col min="1067" max="1067" width="11.140625" style="379" customWidth="1"/>
    <col min="1068" max="1068" width="17.42578125" style="379" customWidth="1"/>
    <col min="1069" max="1069" width="15.7109375" style="379" customWidth="1"/>
    <col min="1070" max="1070" width="12.140625" style="379" bestFit="1" customWidth="1"/>
    <col min="1071" max="1071" width="17.42578125" style="379" customWidth="1"/>
    <col min="1072" max="1072" width="15.7109375" style="379" customWidth="1"/>
    <col min="1073" max="1073" width="10.28515625" style="379" customWidth="1"/>
    <col min="1074" max="1074" width="17.42578125" style="379" customWidth="1"/>
    <col min="1075" max="1075" width="15.7109375" style="379" customWidth="1"/>
    <col min="1076" max="1076" width="11.140625" style="379" customWidth="1"/>
    <col min="1077" max="1077" width="17.42578125" style="379" customWidth="1"/>
    <col min="1078" max="1078" width="15.7109375" style="379" customWidth="1"/>
    <col min="1079" max="1079" width="11.140625" style="379" customWidth="1"/>
    <col min="1080" max="1080" width="17.42578125" style="379" customWidth="1"/>
    <col min="1081" max="1081" width="15.7109375" style="379" customWidth="1"/>
    <col min="1082" max="1082" width="11.140625" style="379" customWidth="1"/>
    <col min="1083" max="1083" width="17.42578125" style="379" customWidth="1"/>
    <col min="1084" max="1084" width="15.7109375" style="379" customWidth="1"/>
    <col min="1085" max="1085" width="11.140625" style="379" customWidth="1"/>
    <col min="1086" max="1086" width="17.42578125" style="379" customWidth="1"/>
    <col min="1087" max="1087" width="13.42578125" style="379" customWidth="1"/>
    <col min="1088" max="1088" width="16.85546875" style="379" customWidth="1"/>
    <col min="1089" max="1089" width="12.7109375" style="379" customWidth="1"/>
    <col min="1090" max="1280" width="12.7109375" style="379"/>
    <col min="1281" max="1281" width="30.140625" style="379" customWidth="1"/>
    <col min="1282" max="1282" width="8.42578125" style="379" customWidth="1"/>
    <col min="1283" max="1283" width="15.7109375" style="379" customWidth="1"/>
    <col min="1284" max="1284" width="11.140625" style="379" customWidth="1"/>
    <col min="1285" max="1285" width="17.42578125" style="379" customWidth="1"/>
    <col min="1286" max="1286" width="15.7109375" style="379" customWidth="1"/>
    <col min="1287" max="1287" width="11.140625" style="379" customWidth="1"/>
    <col min="1288" max="1288" width="17.42578125" style="379" customWidth="1"/>
    <col min="1289" max="1289" width="15.7109375" style="379" customWidth="1"/>
    <col min="1290" max="1290" width="11.140625" style="379" customWidth="1"/>
    <col min="1291" max="1291" width="17.42578125" style="379" customWidth="1"/>
    <col min="1292" max="1292" width="15.7109375" style="379" customWidth="1"/>
    <col min="1293" max="1293" width="11.140625" style="379" customWidth="1"/>
    <col min="1294" max="1294" width="17.42578125" style="379" customWidth="1"/>
    <col min="1295" max="1295" width="15.7109375" style="379" customWidth="1"/>
    <col min="1296" max="1296" width="11.140625" style="379" customWidth="1"/>
    <col min="1297" max="1297" width="17.42578125" style="379" customWidth="1"/>
    <col min="1298" max="1298" width="15.7109375" style="379" customWidth="1"/>
    <col min="1299" max="1299" width="11.140625" style="379" customWidth="1"/>
    <col min="1300" max="1300" width="17.42578125" style="379" customWidth="1"/>
    <col min="1301" max="1301" width="15.7109375" style="379" customWidth="1"/>
    <col min="1302" max="1302" width="11.140625" style="379" customWidth="1"/>
    <col min="1303" max="1303" width="17.42578125" style="379" customWidth="1"/>
    <col min="1304" max="1304" width="15.7109375" style="379" customWidth="1"/>
    <col min="1305" max="1305" width="11.140625" style="379" customWidth="1"/>
    <col min="1306" max="1306" width="17.42578125" style="379" customWidth="1"/>
    <col min="1307" max="1307" width="15.7109375" style="379" customWidth="1"/>
    <col min="1308" max="1308" width="11.140625" style="379" customWidth="1"/>
    <col min="1309" max="1309" width="17.42578125" style="379" customWidth="1"/>
    <col min="1310" max="1310" width="15.7109375" style="379" customWidth="1"/>
    <col min="1311" max="1311" width="11.140625" style="379" customWidth="1"/>
    <col min="1312" max="1312" width="17.42578125" style="379" customWidth="1"/>
    <col min="1313" max="1313" width="15.7109375" style="379" customWidth="1"/>
    <col min="1314" max="1314" width="11.140625" style="379" customWidth="1"/>
    <col min="1315" max="1315" width="17.42578125" style="379" customWidth="1"/>
    <col min="1316" max="1316" width="15.7109375" style="379" customWidth="1"/>
    <col min="1317" max="1317" width="11.140625" style="379" customWidth="1"/>
    <col min="1318" max="1318" width="17.42578125" style="379" customWidth="1"/>
    <col min="1319" max="1319" width="15.7109375" style="379" customWidth="1"/>
    <col min="1320" max="1320" width="11.140625" style="379" customWidth="1"/>
    <col min="1321" max="1321" width="17.42578125" style="379" customWidth="1"/>
    <col min="1322" max="1322" width="15.7109375" style="379" customWidth="1"/>
    <col min="1323" max="1323" width="11.140625" style="379" customWidth="1"/>
    <col min="1324" max="1324" width="17.42578125" style="379" customWidth="1"/>
    <col min="1325" max="1325" width="15.7109375" style="379" customWidth="1"/>
    <col min="1326" max="1326" width="12.140625" style="379" bestFit="1" customWidth="1"/>
    <col min="1327" max="1327" width="17.42578125" style="379" customWidth="1"/>
    <col min="1328" max="1328" width="15.7109375" style="379" customWidth="1"/>
    <col min="1329" max="1329" width="10.28515625" style="379" customWidth="1"/>
    <col min="1330" max="1330" width="17.42578125" style="379" customWidth="1"/>
    <col min="1331" max="1331" width="15.7109375" style="379" customWidth="1"/>
    <col min="1332" max="1332" width="11.140625" style="379" customWidth="1"/>
    <col min="1333" max="1333" width="17.42578125" style="379" customWidth="1"/>
    <col min="1334" max="1334" width="15.7109375" style="379" customWidth="1"/>
    <col min="1335" max="1335" width="11.140625" style="379" customWidth="1"/>
    <col min="1336" max="1336" width="17.42578125" style="379" customWidth="1"/>
    <col min="1337" max="1337" width="15.7109375" style="379" customWidth="1"/>
    <col min="1338" max="1338" width="11.140625" style="379" customWidth="1"/>
    <col min="1339" max="1339" width="17.42578125" style="379" customWidth="1"/>
    <col min="1340" max="1340" width="15.7109375" style="379" customWidth="1"/>
    <col min="1341" max="1341" width="11.140625" style="379" customWidth="1"/>
    <col min="1342" max="1342" width="17.42578125" style="379" customWidth="1"/>
    <col min="1343" max="1343" width="13.42578125" style="379" customWidth="1"/>
    <col min="1344" max="1344" width="16.85546875" style="379" customWidth="1"/>
    <col min="1345" max="1345" width="12.7109375" style="379" customWidth="1"/>
    <col min="1346" max="1536" width="12.7109375" style="379"/>
    <col min="1537" max="1537" width="30.140625" style="379" customWidth="1"/>
    <col min="1538" max="1538" width="8.42578125" style="379" customWidth="1"/>
    <col min="1539" max="1539" width="15.7109375" style="379" customWidth="1"/>
    <col min="1540" max="1540" width="11.140625" style="379" customWidth="1"/>
    <col min="1541" max="1541" width="17.42578125" style="379" customWidth="1"/>
    <col min="1542" max="1542" width="15.7109375" style="379" customWidth="1"/>
    <col min="1543" max="1543" width="11.140625" style="379" customWidth="1"/>
    <col min="1544" max="1544" width="17.42578125" style="379" customWidth="1"/>
    <col min="1545" max="1545" width="15.7109375" style="379" customWidth="1"/>
    <col min="1546" max="1546" width="11.140625" style="379" customWidth="1"/>
    <col min="1547" max="1547" width="17.42578125" style="379" customWidth="1"/>
    <col min="1548" max="1548" width="15.7109375" style="379" customWidth="1"/>
    <col min="1549" max="1549" width="11.140625" style="379" customWidth="1"/>
    <col min="1550" max="1550" width="17.42578125" style="379" customWidth="1"/>
    <col min="1551" max="1551" width="15.7109375" style="379" customWidth="1"/>
    <col min="1552" max="1552" width="11.140625" style="379" customWidth="1"/>
    <col min="1553" max="1553" width="17.42578125" style="379" customWidth="1"/>
    <col min="1554" max="1554" width="15.7109375" style="379" customWidth="1"/>
    <col min="1555" max="1555" width="11.140625" style="379" customWidth="1"/>
    <col min="1556" max="1556" width="17.42578125" style="379" customWidth="1"/>
    <col min="1557" max="1557" width="15.7109375" style="379" customWidth="1"/>
    <col min="1558" max="1558" width="11.140625" style="379" customWidth="1"/>
    <col min="1559" max="1559" width="17.42578125" style="379" customWidth="1"/>
    <col min="1560" max="1560" width="15.7109375" style="379" customWidth="1"/>
    <col min="1561" max="1561" width="11.140625" style="379" customWidth="1"/>
    <col min="1562" max="1562" width="17.42578125" style="379" customWidth="1"/>
    <col min="1563" max="1563" width="15.7109375" style="379" customWidth="1"/>
    <col min="1564" max="1564" width="11.140625" style="379" customWidth="1"/>
    <col min="1565" max="1565" width="17.42578125" style="379" customWidth="1"/>
    <col min="1566" max="1566" width="15.7109375" style="379" customWidth="1"/>
    <col min="1567" max="1567" width="11.140625" style="379" customWidth="1"/>
    <col min="1568" max="1568" width="17.42578125" style="379" customWidth="1"/>
    <col min="1569" max="1569" width="15.7109375" style="379" customWidth="1"/>
    <col min="1570" max="1570" width="11.140625" style="379" customWidth="1"/>
    <col min="1571" max="1571" width="17.42578125" style="379" customWidth="1"/>
    <col min="1572" max="1572" width="15.7109375" style="379" customWidth="1"/>
    <col min="1573" max="1573" width="11.140625" style="379" customWidth="1"/>
    <col min="1574" max="1574" width="17.42578125" style="379" customWidth="1"/>
    <col min="1575" max="1575" width="15.7109375" style="379" customWidth="1"/>
    <col min="1576" max="1576" width="11.140625" style="379" customWidth="1"/>
    <col min="1577" max="1577" width="17.42578125" style="379" customWidth="1"/>
    <col min="1578" max="1578" width="15.7109375" style="379" customWidth="1"/>
    <col min="1579" max="1579" width="11.140625" style="379" customWidth="1"/>
    <col min="1580" max="1580" width="17.42578125" style="379" customWidth="1"/>
    <col min="1581" max="1581" width="15.7109375" style="379" customWidth="1"/>
    <col min="1582" max="1582" width="12.140625" style="379" bestFit="1" customWidth="1"/>
    <col min="1583" max="1583" width="17.42578125" style="379" customWidth="1"/>
    <col min="1584" max="1584" width="15.7109375" style="379" customWidth="1"/>
    <col min="1585" max="1585" width="10.28515625" style="379" customWidth="1"/>
    <col min="1586" max="1586" width="17.42578125" style="379" customWidth="1"/>
    <col min="1587" max="1587" width="15.7109375" style="379" customWidth="1"/>
    <col min="1588" max="1588" width="11.140625" style="379" customWidth="1"/>
    <col min="1589" max="1589" width="17.42578125" style="379" customWidth="1"/>
    <col min="1590" max="1590" width="15.7109375" style="379" customWidth="1"/>
    <col min="1591" max="1591" width="11.140625" style="379" customWidth="1"/>
    <col min="1592" max="1592" width="17.42578125" style="379" customWidth="1"/>
    <col min="1593" max="1593" width="15.7109375" style="379" customWidth="1"/>
    <col min="1594" max="1594" width="11.140625" style="379" customWidth="1"/>
    <col min="1595" max="1595" width="17.42578125" style="379" customWidth="1"/>
    <col min="1596" max="1596" width="15.7109375" style="379" customWidth="1"/>
    <col min="1597" max="1597" width="11.140625" style="379" customWidth="1"/>
    <col min="1598" max="1598" width="17.42578125" style="379" customWidth="1"/>
    <col min="1599" max="1599" width="13.42578125" style="379" customWidth="1"/>
    <col min="1600" max="1600" width="16.85546875" style="379" customWidth="1"/>
    <col min="1601" max="1601" width="12.7109375" style="379" customWidth="1"/>
    <col min="1602" max="1792" width="12.7109375" style="379"/>
    <col min="1793" max="1793" width="30.140625" style="379" customWidth="1"/>
    <col min="1794" max="1794" width="8.42578125" style="379" customWidth="1"/>
    <col min="1795" max="1795" width="15.7109375" style="379" customWidth="1"/>
    <col min="1796" max="1796" width="11.140625" style="379" customWidth="1"/>
    <col min="1797" max="1797" width="17.42578125" style="379" customWidth="1"/>
    <col min="1798" max="1798" width="15.7109375" style="379" customWidth="1"/>
    <col min="1799" max="1799" width="11.140625" style="379" customWidth="1"/>
    <col min="1800" max="1800" width="17.42578125" style="379" customWidth="1"/>
    <col min="1801" max="1801" width="15.7109375" style="379" customWidth="1"/>
    <col min="1802" max="1802" width="11.140625" style="379" customWidth="1"/>
    <col min="1803" max="1803" width="17.42578125" style="379" customWidth="1"/>
    <col min="1804" max="1804" width="15.7109375" style="379" customWidth="1"/>
    <col min="1805" max="1805" width="11.140625" style="379" customWidth="1"/>
    <col min="1806" max="1806" width="17.42578125" style="379" customWidth="1"/>
    <col min="1807" max="1807" width="15.7109375" style="379" customWidth="1"/>
    <col min="1808" max="1808" width="11.140625" style="379" customWidth="1"/>
    <col min="1809" max="1809" width="17.42578125" style="379" customWidth="1"/>
    <col min="1810" max="1810" width="15.7109375" style="379" customWidth="1"/>
    <col min="1811" max="1811" width="11.140625" style="379" customWidth="1"/>
    <col min="1812" max="1812" width="17.42578125" style="379" customWidth="1"/>
    <col min="1813" max="1813" width="15.7109375" style="379" customWidth="1"/>
    <col min="1814" max="1814" width="11.140625" style="379" customWidth="1"/>
    <col min="1815" max="1815" width="17.42578125" style="379" customWidth="1"/>
    <col min="1816" max="1816" width="15.7109375" style="379" customWidth="1"/>
    <col min="1817" max="1817" width="11.140625" style="379" customWidth="1"/>
    <col min="1818" max="1818" width="17.42578125" style="379" customWidth="1"/>
    <col min="1819" max="1819" width="15.7109375" style="379" customWidth="1"/>
    <col min="1820" max="1820" width="11.140625" style="379" customWidth="1"/>
    <col min="1821" max="1821" width="17.42578125" style="379" customWidth="1"/>
    <col min="1822" max="1822" width="15.7109375" style="379" customWidth="1"/>
    <col min="1823" max="1823" width="11.140625" style="379" customWidth="1"/>
    <col min="1824" max="1824" width="17.42578125" style="379" customWidth="1"/>
    <col min="1825" max="1825" width="15.7109375" style="379" customWidth="1"/>
    <col min="1826" max="1826" width="11.140625" style="379" customWidth="1"/>
    <col min="1827" max="1827" width="17.42578125" style="379" customWidth="1"/>
    <col min="1828" max="1828" width="15.7109375" style="379" customWidth="1"/>
    <col min="1829" max="1829" width="11.140625" style="379" customWidth="1"/>
    <col min="1830" max="1830" width="17.42578125" style="379" customWidth="1"/>
    <col min="1831" max="1831" width="15.7109375" style="379" customWidth="1"/>
    <col min="1832" max="1832" width="11.140625" style="379" customWidth="1"/>
    <col min="1833" max="1833" width="17.42578125" style="379" customWidth="1"/>
    <col min="1834" max="1834" width="15.7109375" style="379" customWidth="1"/>
    <col min="1835" max="1835" width="11.140625" style="379" customWidth="1"/>
    <col min="1836" max="1836" width="17.42578125" style="379" customWidth="1"/>
    <col min="1837" max="1837" width="15.7109375" style="379" customWidth="1"/>
    <col min="1838" max="1838" width="12.140625" style="379" bestFit="1" customWidth="1"/>
    <col min="1839" max="1839" width="17.42578125" style="379" customWidth="1"/>
    <col min="1840" max="1840" width="15.7109375" style="379" customWidth="1"/>
    <col min="1841" max="1841" width="10.28515625" style="379" customWidth="1"/>
    <col min="1842" max="1842" width="17.42578125" style="379" customWidth="1"/>
    <col min="1843" max="1843" width="15.7109375" style="379" customWidth="1"/>
    <col min="1844" max="1844" width="11.140625" style="379" customWidth="1"/>
    <col min="1845" max="1845" width="17.42578125" style="379" customWidth="1"/>
    <col min="1846" max="1846" width="15.7109375" style="379" customWidth="1"/>
    <col min="1847" max="1847" width="11.140625" style="379" customWidth="1"/>
    <col min="1848" max="1848" width="17.42578125" style="379" customWidth="1"/>
    <col min="1849" max="1849" width="15.7109375" style="379" customWidth="1"/>
    <col min="1850" max="1850" width="11.140625" style="379" customWidth="1"/>
    <col min="1851" max="1851" width="17.42578125" style="379" customWidth="1"/>
    <col min="1852" max="1852" width="15.7109375" style="379" customWidth="1"/>
    <col min="1853" max="1853" width="11.140625" style="379" customWidth="1"/>
    <col min="1854" max="1854" width="17.42578125" style="379" customWidth="1"/>
    <col min="1855" max="1855" width="13.42578125" style="379" customWidth="1"/>
    <col min="1856" max="1856" width="16.85546875" style="379" customWidth="1"/>
    <col min="1857" max="1857" width="12.7109375" style="379" customWidth="1"/>
    <col min="1858" max="2048" width="12.7109375" style="379"/>
    <col min="2049" max="2049" width="30.140625" style="379" customWidth="1"/>
    <col min="2050" max="2050" width="8.42578125" style="379" customWidth="1"/>
    <col min="2051" max="2051" width="15.7109375" style="379" customWidth="1"/>
    <col min="2052" max="2052" width="11.140625" style="379" customWidth="1"/>
    <col min="2053" max="2053" width="17.42578125" style="379" customWidth="1"/>
    <col min="2054" max="2054" width="15.7109375" style="379" customWidth="1"/>
    <col min="2055" max="2055" width="11.140625" style="379" customWidth="1"/>
    <col min="2056" max="2056" width="17.42578125" style="379" customWidth="1"/>
    <col min="2057" max="2057" width="15.7109375" style="379" customWidth="1"/>
    <col min="2058" max="2058" width="11.140625" style="379" customWidth="1"/>
    <col min="2059" max="2059" width="17.42578125" style="379" customWidth="1"/>
    <col min="2060" max="2060" width="15.7109375" style="379" customWidth="1"/>
    <col min="2061" max="2061" width="11.140625" style="379" customWidth="1"/>
    <col min="2062" max="2062" width="17.42578125" style="379" customWidth="1"/>
    <col min="2063" max="2063" width="15.7109375" style="379" customWidth="1"/>
    <col min="2064" max="2064" width="11.140625" style="379" customWidth="1"/>
    <col min="2065" max="2065" width="17.42578125" style="379" customWidth="1"/>
    <col min="2066" max="2066" width="15.7109375" style="379" customWidth="1"/>
    <col min="2067" max="2067" width="11.140625" style="379" customWidth="1"/>
    <col min="2068" max="2068" width="17.42578125" style="379" customWidth="1"/>
    <col min="2069" max="2069" width="15.7109375" style="379" customWidth="1"/>
    <col min="2070" max="2070" width="11.140625" style="379" customWidth="1"/>
    <col min="2071" max="2071" width="17.42578125" style="379" customWidth="1"/>
    <col min="2072" max="2072" width="15.7109375" style="379" customWidth="1"/>
    <col min="2073" max="2073" width="11.140625" style="379" customWidth="1"/>
    <col min="2074" max="2074" width="17.42578125" style="379" customWidth="1"/>
    <col min="2075" max="2075" width="15.7109375" style="379" customWidth="1"/>
    <col min="2076" max="2076" width="11.140625" style="379" customWidth="1"/>
    <col min="2077" max="2077" width="17.42578125" style="379" customWidth="1"/>
    <col min="2078" max="2078" width="15.7109375" style="379" customWidth="1"/>
    <col min="2079" max="2079" width="11.140625" style="379" customWidth="1"/>
    <col min="2080" max="2080" width="17.42578125" style="379" customWidth="1"/>
    <col min="2081" max="2081" width="15.7109375" style="379" customWidth="1"/>
    <col min="2082" max="2082" width="11.140625" style="379" customWidth="1"/>
    <col min="2083" max="2083" width="17.42578125" style="379" customWidth="1"/>
    <col min="2084" max="2084" width="15.7109375" style="379" customWidth="1"/>
    <col min="2085" max="2085" width="11.140625" style="379" customWidth="1"/>
    <col min="2086" max="2086" width="17.42578125" style="379" customWidth="1"/>
    <col min="2087" max="2087" width="15.7109375" style="379" customWidth="1"/>
    <col min="2088" max="2088" width="11.140625" style="379" customWidth="1"/>
    <col min="2089" max="2089" width="17.42578125" style="379" customWidth="1"/>
    <col min="2090" max="2090" width="15.7109375" style="379" customWidth="1"/>
    <col min="2091" max="2091" width="11.140625" style="379" customWidth="1"/>
    <col min="2092" max="2092" width="17.42578125" style="379" customWidth="1"/>
    <col min="2093" max="2093" width="15.7109375" style="379" customWidth="1"/>
    <col min="2094" max="2094" width="12.140625" style="379" bestFit="1" customWidth="1"/>
    <col min="2095" max="2095" width="17.42578125" style="379" customWidth="1"/>
    <col min="2096" max="2096" width="15.7109375" style="379" customWidth="1"/>
    <col min="2097" max="2097" width="10.28515625" style="379" customWidth="1"/>
    <col min="2098" max="2098" width="17.42578125" style="379" customWidth="1"/>
    <col min="2099" max="2099" width="15.7109375" style="379" customWidth="1"/>
    <col min="2100" max="2100" width="11.140625" style="379" customWidth="1"/>
    <col min="2101" max="2101" width="17.42578125" style="379" customWidth="1"/>
    <col min="2102" max="2102" width="15.7109375" style="379" customWidth="1"/>
    <col min="2103" max="2103" width="11.140625" style="379" customWidth="1"/>
    <col min="2104" max="2104" width="17.42578125" style="379" customWidth="1"/>
    <col min="2105" max="2105" width="15.7109375" style="379" customWidth="1"/>
    <col min="2106" max="2106" width="11.140625" style="379" customWidth="1"/>
    <col min="2107" max="2107" width="17.42578125" style="379" customWidth="1"/>
    <col min="2108" max="2108" width="15.7109375" style="379" customWidth="1"/>
    <col min="2109" max="2109" width="11.140625" style="379" customWidth="1"/>
    <col min="2110" max="2110" width="17.42578125" style="379" customWidth="1"/>
    <col min="2111" max="2111" width="13.42578125" style="379" customWidth="1"/>
    <col min="2112" max="2112" width="16.85546875" style="379" customWidth="1"/>
    <col min="2113" max="2113" width="12.7109375" style="379" customWidth="1"/>
    <col min="2114" max="2304" width="12.7109375" style="379"/>
    <col min="2305" max="2305" width="30.140625" style="379" customWidth="1"/>
    <col min="2306" max="2306" width="8.42578125" style="379" customWidth="1"/>
    <col min="2307" max="2307" width="15.7109375" style="379" customWidth="1"/>
    <col min="2308" max="2308" width="11.140625" style="379" customWidth="1"/>
    <col min="2309" max="2309" width="17.42578125" style="379" customWidth="1"/>
    <col min="2310" max="2310" width="15.7109375" style="379" customWidth="1"/>
    <col min="2311" max="2311" width="11.140625" style="379" customWidth="1"/>
    <col min="2312" max="2312" width="17.42578125" style="379" customWidth="1"/>
    <col min="2313" max="2313" width="15.7109375" style="379" customWidth="1"/>
    <col min="2314" max="2314" width="11.140625" style="379" customWidth="1"/>
    <col min="2315" max="2315" width="17.42578125" style="379" customWidth="1"/>
    <col min="2316" max="2316" width="15.7109375" style="379" customWidth="1"/>
    <col min="2317" max="2317" width="11.140625" style="379" customWidth="1"/>
    <col min="2318" max="2318" width="17.42578125" style="379" customWidth="1"/>
    <col min="2319" max="2319" width="15.7109375" style="379" customWidth="1"/>
    <col min="2320" max="2320" width="11.140625" style="379" customWidth="1"/>
    <col min="2321" max="2321" width="17.42578125" style="379" customWidth="1"/>
    <col min="2322" max="2322" width="15.7109375" style="379" customWidth="1"/>
    <col min="2323" max="2323" width="11.140625" style="379" customWidth="1"/>
    <col min="2324" max="2324" width="17.42578125" style="379" customWidth="1"/>
    <col min="2325" max="2325" width="15.7109375" style="379" customWidth="1"/>
    <col min="2326" max="2326" width="11.140625" style="379" customWidth="1"/>
    <col min="2327" max="2327" width="17.42578125" style="379" customWidth="1"/>
    <col min="2328" max="2328" width="15.7109375" style="379" customWidth="1"/>
    <col min="2329" max="2329" width="11.140625" style="379" customWidth="1"/>
    <col min="2330" max="2330" width="17.42578125" style="379" customWidth="1"/>
    <col min="2331" max="2331" width="15.7109375" style="379" customWidth="1"/>
    <col min="2332" max="2332" width="11.140625" style="379" customWidth="1"/>
    <col min="2333" max="2333" width="17.42578125" style="379" customWidth="1"/>
    <col min="2334" max="2334" width="15.7109375" style="379" customWidth="1"/>
    <col min="2335" max="2335" width="11.140625" style="379" customWidth="1"/>
    <col min="2336" max="2336" width="17.42578125" style="379" customWidth="1"/>
    <col min="2337" max="2337" width="15.7109375" style="379" customWidth="1"/>
    <col min="2338" max="2338" width="11.140625" style="379" customWidth="1"/>
    <col min="2339" max="2339" width="17.42578125" style="379" customWidth="1"/>
    <col min="2340" max="2340" width="15.7109375" style="379" customWidth="1"/>
    <col min="2341" max="2341" width="11.140625" style="379" customWidth="1"/>
    <col min="2342" max="2342" width="17.42578125" style="379" customWidth="1"/>
    <col min="2343" max="2343" width="15.7109375" style="379" customWidth="1"/>
    <col min="2344" max="2344" width="11.140625" style="379" customWidth="1"/>
    <col min="2345" max="2345" width="17.42578125" style="379" customWidth="1"/>
    <col min="2346" max="2346" width="15.7109375" style="379" customWidth="1"/>
    <col min="2347" max="2347" width="11.140625" style="379" customWidth="1"/>
    <col min="2348" max="2348" width="17.42578125" style="379" customWidth="1"/>
    <col min="2349" max="2349" width="15.7109375" style="379" customWidth="1"/>
    <col min="2350" max="2350" width="12.140625" style="379" bestFit="1" customWidth="1"/>
    <col min="2351" max="2351" width="17.42578125" style="379" customWidth="1"/>
    <col min="2352" max="2352" width="15.7109375" style="379" customWidth="1"/>
    <col min="2353" max="2353" width="10.28515625" style="379" customWidth="1"/>
    <col min="2354" max="2354" width="17.42578125" style="379" customWidth="1"/>
    <col min="2355" max="2355" width="15.7109375" style="379" customWidth="1"/>
    <col min="2356" max="2356" width="11.140625" style="379" customWidth="1"/>
    <col min="2357" max="2357" width="17.42578125" style="379" customWidth="1"/>
    <col min="2358" max="2358" width="15.7109375" style="379" customWidth="1"/>
    <col min="2359" max="2359" width="11.140625" style="379" customWidth="1"/>
    <col min="2360" max="2360" width="17.42578125" style="379" customWidth="1"/>
    <col min="2361" max="2361" width="15.7109375" style="379" customWidth="1"/>
    <col min="2362" max="2362" width="11.140625" style="379" customWidth="1"/>
    <col min="2363" max="2363" width="17.42578125" style="379" customWidth="1"/>
    <col min="2364" max="2364" width="15.7109375" style="379" customWidth="1"/>
    <col min="2365" max="2365" width="11.140625" style="379" customWidth="1"/>
    <col min="2366" max="2366" width="17.42578125" style="379" customWidth="1"/>
    <col min="2367" max="2367" width="13.42578125" style="379" customWidth="1"/>
    <col min="2368" max="2368" width="16.85546875" style="379" customWidth="1"/>
    <col min="2369" max="2369" width="12.7109375" style="379" customWidth="1"/>
    <col min="2370" max="2560" width="12.7109375" style="379"/>
    <col min="2561" max="2561" width="30.140625" style="379" customWidth="1"/>
    <col min="2562" max="2562" width="8.42578125" style="379" customWidth="1"/>
    <col min="2563" max="2563" width="15.7109375" style="379" customWidth="1"/>
    <col min="2564" max="2564" width="11.140625" style="379" customWidth="1"/>
    <col min="2565" max="2565" width="17.42578125" style="379" customWidth="1"/>
    <col min="2566" max="2566" width="15.7109375" style="379" customWidth="1"/>
    <col min="2567" max="2567" width="11.140625" style="379" customWidth="1"/>
    <col min="2568" max="2568" width="17.42578125" style="379" customWidth="1"/>
    <col min="2569" max="2569" width="15.7109375" style="379" customWidth="1"/>
    <col min="2570" max="2570" width="11.140625" style="379" customWidth="1"/>
    <col min="2571" max="2571" width="17.42578125" style="379" customWidth="1"/>
    <col min="2572" max="2572" width="15.7109375" style="379" customWidth="1"/>
    <col min="2573" max="2573" width="11.140625" style="379" customWidth="1"/>
    <col min="2574" max="2574" width="17.42578125" style="379" customWidth="1"/>
    <col min="2575" max="2575" width="15.7109375" style="379" customWidth="1"/>
    <col min="2576" max="2576" width="11.140625" style="379" customWidth="1"/>
    <col min="2577" max="2577" width="17.42578125" style="379" customWidth="1"/>
    <col min="2578" max="2578" width="15.7109375" style="379" customWidth="1"/>
    <col min="2579" max="2579" width="11.140625" style="379" customWidth="1"/>
    <col min="2580" max="2580" width="17.42578125" style="379" customWidth="1"/>
    <col min="2581" max="2581" width="15.7109375" style="379" customWidth="1"/>
    <col min="2582" max="2582" width="11.140625" style="379" customWidth="1"/>
    <col min="2583" max="2583" width="17.42578125" style="379" customWidth="1"/>
    <col min="2584" max="2584" width="15.7109375" style="379" customWidth="1"/>
    <col min="2585" max="2585" width="11.140625" style="379" customWidth="1"/>
    <col min="2586" max="2586" width="17.42578125" style="379" customWidth="1"/>
    <col min="2587" max="2587" width="15.7109375" style="379" customWidth="1"/>
    <col min="2588" max="2588" width="11.140625" style="379" customWidth="1"/>
    <col min="2589" max="2589" width="17.42578125" style="379" customWidth="1"/>
    <col min="2590" max="2590" width="15.7109375" style="379" customWidth="1"/>
    <col min="2591" max="2591" width="11.140625" style="379" customWidth="1"/>
    <col min="2592" max="2592" width="17.42578125" style="379" customWidth="1"/>
    <col min="2593" max="2593" width="15.7109375" style="379" customWidth="1"/>
    <col min="2594" max="2594" width="11.140625" style="379" customWidth="1"/>
    <col min="2595" max="2595" width="17.42578125" style="379" customWidth="1"/>
    <col min="2596" max="2596" width="15.7109375" style="379" customWidth="1"/>
    <col min="2597" max="2597" width="11.140625" style="379" customWidth="1"/>
    <col min="2598" max="2598" width="17.42578125" style="379" customWidth="1"/>
    <col min="2599" max="2599" width="15.7109375" style="379" customWidth="1"/>
    <col min="2600" max="2600" width="11.140625" style="379" customWidth="1"/>
    <col min="2601" max="2601" width="17.42578125" style="379" customWidth="1"/>
    <col min="2602" max="2602" width="15.7109375" style="379" customWidth="1"/>
    <col min="2603" max="2603" width="11.140625" style="379" customWidth="1"/>
    <col min="2604" max="2604" width="17.42578125" style="379" customWidth="1"/>
    <col min="2605" max="2605" width="15.7109375" style="379" customWidth="1"/>
    <col min="2606" max="2606" width="12.140625" style="379" bestFit="1" customWidth="1"/>
    <col min="2607" max="2607" width="17.42578125" style="379" customWidth="1"/>
    <col min="2608" max="2608" width="15.7109375" style="379" customWidth="1"/>
    <col min="2609" max="2609" width="10.28515625" style="379" customWidth="1"/>
    <col min="2610" max="2610" width="17.42578125" style="379" customWidth="1"/>
    <col min="2611" max="2611" width="15.7109375" style="379" customWidth="1"/>
    <col min="2612" max="2612" width="11.140625" style="379" customWidth="1"/>
    <col min="2613" max="2613" width="17.42578125" style="379" customWidth="1"/>
    <col min="2614" max="2614" width="15.7109375" style="379" customWidth="1"/>
    <col min="2615" max="2615" width="11.140625" style="379" customWidth="1"/>
    <col min="2616" max="2616" width="17.42578125" style="379" customWidth="1"/>
    <col min="2617" max="2617" width="15.7109375" style="379" customWidth="1"/>
    <col min="2618" max="2618" width="11.140625" style="379" customWidth="1"/>
    <col min="2619" max="2619" width="17.42578125" style="379" customWidth="1"/>
    <col min="2620" max="2620" width="15.7109375" style="379" customWidth="1"/>
    <col min="2621" max="2621" width="11.140625" style="379" customWidth="1"/>
    <col min="2622" max="2622" width="17.42578125" style="379" customWidth="1"/>
    <col min="2623" max="2623" width="13.42578125" style="379" customWidth="1"/>
    <col min="2624" max="2624" width="16.85546875" style="379" customWidth="1"/>
    <col min="2625" max="2625" width="12.7109375" style="379" customWidth="1"/>
    <col min="2626" max="2816" width="12.7109375" style="379"/>
    <col min="2817" max="2817" width="30.140625" style="379" customWidth="1"/>
    <col min="2818" max="2818" width="8.42578125" style="379" customWidth="1"/>
    <col min="2819" max="2819" width="15.7109375" style="379" customWidth="1"/>
    <col min="2820" max="2820" width="11.140625" style="379" customWidth="1"/>
    <col min="2821" max="2821" width="17.42578125" style="379" customWidth="1"/>
    <col min="2822" max="2822" width="15.7109375" style="379" customWidth="1"/>
    <col min="2823" max="2823" width="11.140625" style="379" customWidth="1"/>
    <col min="2824" max="2824" width="17.42578125" style="379" customWidth="1"/>
    <col min="2825" max="2825" width="15.7109375" style="379" customWidth="1"/>
    <col min="2826" max="2826" width="11.140625" style="379" customWidth="1"/>
    <col min="2827" max="2827" width="17.42578125" style="379" customWidth="1"/>
    <col min="2828" max="2828" width="15.7109375" style="379" customWidth="1"/>
    <col min="2829" max="2829" width="11.140625" style="379" customWidth="1"/>
    <col min="2830" max="2830" width="17.42578125" style="379" customWidth="1"/>
    <col min="2831" max="2831" width="15.7109375" style="379" customWidth="1"/>
    <col min="2832" max="2832" width="11.140625" style="379" customWidth="1"/>
    <col min="2833" max="2833" width="17.42578125" style="379" customWidth="1"/>
    <col min="2834" max="2834" width="15.7109375" style="379" customWidth="1"/>
    <col min="2835" max="2835" width="11.140625" style="379" customWidth="1"/>
    <col min="2836" max="2836" width="17.42578125" style="379" customWidth="1"/>
    <col min="2837" max="2837" width="15.7109375" style="379" customWidth="1"/>
    <col min="2838" max="2838" width="11.140625" style="379" customWidth="1"/>
    <col min="2839" max="2839" width="17.42578125" style="379" customWidth="1"/>
    <col min="2840" max="2840" width="15.7109375" style="379" customWidth="1"/>
    <col min="2841" max="2841" width="11.140625" style="379" customWidth="1"/>
    <col min="2842" max="2842" width="17.42578125" style="379" customWidth="1"/>
    <col min="2843" max="2843" width="15.7109375" style="379" customWidth="1"/>
    <col min="2844" max="2844" width="11.140625" style="379" customWidth="1"/>
    <col min="2845" max="2845" width="17.42578125" style="379" customWidth="1"/>
    <col min="2846" max="2846" width="15.7109375" style="379" customWidth="1"/>
    <col min="2847" max="2847" width="11.140625" style="379" customWidth="1"/>
    <col min="2848" max="2848" width="17.42578125" style="379" customWidth="1"/>
    <col min="2849" max="2849" width="15.7109375" style="379" customWidth="1"/>
    <col min="2850" max="2850" width="11.140625" style="379" customWidth="1"/>
    <col min="2851" max="2851" width="17.42578125" style="379" customWidth="1"/>
    <col min="2852" max="2852" width="15.7109375" style="379" customWidth="1"/>
    <col min="2853" max="2853" width="11.140625" style="379" customWidth="1"/>
    <col min="2854" max="2854" width="17.42578125" style="379" customWidth="1"/>
    <col min="2855" max="2855" width="15.7109375" style="379" customWidth="1"/>
    <col min="2856" max="2856" width="11.140625" style="379" customWidth="1"/>
    <col min="2857" max="2857" width="17.42578125" style="379" customWidth="1"/>
    <col min="2858" max="2858" width="15.7109375" style="379" customWidth="1"/>
    <col min="2859" max="2859" width="11.140625" style="379" customWidth="1"/>
    <col min="2860" max="2860" width="17.42578125" style="379" customWidth="1"/>
    <col min="2861" max="2861" width="15.7109375" style="379" customWidth="1"/>
    <col min="2862" max="2862" width="12.140625" style="379" bestFit="1" customWidth="1"/>
    <col min="2863" max="2863" width="17.42578125" style="379" customWidth="1"/>
    <col min="2864" max="2864" width="15.7109375" style="379" customWidth="1"/>
    <col min="2865" max="2865" width="10.28515625" style="379" customWidth="1"/>
    <col min="2866" max="2866" width="17.42578125" style="379" customWidth="1"/>
    <col min="2867" max="2867" width="15.7109375" style="379" customWidth="1"/>
    <col min="2868" max="2868" width="11.140625" style="379" customWidth="1"/>
    <col min="2869" max="2869" width="17.42578125" style="379" customWidth="1"/>
    <col min="2870" max="2870" width="15.7109375" style="379" customWidth="1"/>
    <col min="2871" max="2871" width="11.140625" style="379" customWidth="1"/>
    <col min="2872" max="2872" width="17.42578125" style="379" customWidth="1"/>
    <col min="2873" max="2873" width="15.7109375" style="379" customWidth="1"/>
    <col min="2874" max="2874" width="11.140625" style="379" customWidth="1"/>
    <col min="2875" max="2875" width="17.42578125" style="379" customWidth="1"/>
    <col min="2876" max="2876" width="15.7109375" style="379" customWidth="1"/>
    <col min="2877" max="2877" width="11.140625" style="379" customWidth="1"/>
    <col min="2878" max="2878" width="17.42578125" style="379" customWidth="1"/>
    <col min="2879" max="2879" width="13.42578125" style="379" customWidth="1"/>
    <col min="2880" max="2880" width="16.85546875" style="379" customWidth="1"/>
    <col min="2881" max="2881" width="12.7109375" style="379" customWidth="1"/>
    <col min="2882" max="3072" width="12.7109375" style="379"/>
    <col min="3073" max="3073" width="30.140625" style="379" customWidth="1"/>
    <col min="3074" max="3074" width="8.42578125" style="379" customWidth="1"/>
    <col min="3075" max="3075" width="15.7109375" style="379" customWidth="1"/>
    <col min="3076" max="3076" width="11.140625" style="379" customWidth="1"/>
    <col min="3077" max="3077" width="17.42578125" style="379" customWidth="1"/>
    <col min="3078" max="3078" width="15.7109375" style="379" customWidth="1"/>
    <col min="3079" max="3079" width="11.140625" style="379" customWidth="1"/>
    <col min="3080" max="3080" width="17.42578125" style="379" customWidth="1"/>
    <col min="3081" max="3081" width="15.7109375" style="379" customWidth="1"/>
    <col min="3082" max="3082" width="11.140625" style="379" customWidth="1"/>
    <col min="3083" max="3083" width="17.42578125" style="379" customWidth="1"/>
    <col min="3084" max="3084" width="15.7109375" style="379" customWidth="1"/>
    <col min="3085" max="3085" width="11.140625" style="379" customWidth="1"/>
    <col min="3086" max="3086" width="17.42578125" style="379" customWidth="1"/>
    <col min="3087" max="3087" width="15.7109375" style="379" customWidth="1"/>
    <col min="3088" max="3088" width="11.140625" style="379" customWidth="1"/>
    <col min="3089" max="3089" width="17.42578125" style="379" customWidth="1"/>
    <col min="3090" max="3090" width="15.7109375" style="379" customWidth="1"/>
    <col min="3091" max="3091" width="11.140625" style="379" customWidth="1"/>
    <col min="3092" max="3092" width="17.42578125" style="379" customWidth="1"/>
    <col min="3093" max="3093" width="15.7109375" style="379" customWidth="1"/>
    <col min="3094" max="3094" width="11.140625" style="379" customWidth="1"/>
    <col min="3095" max="3095" width="17.42578125" style="379" customWidth="1"/>
    <col min="3096" max="3096" width="15.7109375" style="379" customWidth="1"/>
    <col min="3097" max="3097" width="11.140625" style="379" customWidth="1"/>
    <col min="3098" max="3098" width="17.42578125" style="379" customWidth="1"/>
    <col min="3099" max="3099" width="15.7109375" style="379" customWidth="1"/>
    <col min="3100" max="3100" width="11.140625" style="379" customWidth="1"/>
    <col min="3101" max="3101" width="17.42578125" style="379" customWidth="1"/>
    <col min="3102" max="3102" width="15.7109375" style="379" customWidth="1"/>
    <col min="3103" max="3103" width="11.140625" style="379" customWidth="1"/>
    <col min="3104" max="3104" width="17.42578125" style="379" customWidth="1"/>
    <col min="3105" max="3105" width="15.7109375" style="379" customWidth="1"/>
    <col min="3106" max="3106" width="11.140625" style="379" customWidth="1"/>
    <col min="3107" max="3107" width="17.42578125" style="379" customWidth="1"/>
    <col min="3108" max="3108" width="15.7109375" style="379" customWidth="1"/>
    <col min="3109" max="3109" width="11.140625" style="379" customWidth="1"/>
    <col min="3110" max="3110" width="17.42578125" style="379" customWidth="1"/>
    <col min="3111" max="3111" width="15.7109375" style="379" customWidth="1"/>
    <col min="3112" max="3112" width="11.140625" style="379" customWidth="1"/>
    <col min="3113" max="3113" width="17.42578125" style="379" customWidth="1"/>
    <col min="3114" max="3114" width="15.7109375" style="379" customWidth="1"/>
    <col min="3115" max="3115" width="11.140625" style="379" customWidth="1"/>
    <col min="3116" max="3116" width="17.42578125" style="379" customWidth="1"/>
    <col min="3117" max="3117" width="15.7109375" style="379" customWidth="1"/>
    <col min="3118" max="3118" width="12.140625" style="379" bestFit="1" customWidth="1"/>
    <col min="3119" max="3119" width="17.42578125" style="379" customWidth="1"/>
    <col min="3120" max="3120" width="15.7109375" style="379" customWidth="1"/>
    <col min="3121" max="3121" width="10.28515625" style="379" customWidth="1"/>
    <col min="3122" max="3122" width="17.42578125" style="379" customWidth="1"/>
    <col min="3123" max="3123" width="15.7109375" style="379" customWidth="1"/>
    <col min="3124" max="3124" width="11.140625" style="379" customWidth="1"/>
    <col min="3125" max="3125" width="17.42578125" style="379" customWidth="1"/>
    <col min="3126" max="3126" width="15.7109375" style="379" customWidth="1"/>
    <col min="3127" max="3127" width="11.140625" style="379" customWidth="1"/>
    <col min="3128" max="3128" width="17.42578125" style="379" customWidth="1"/>
    <col min="3129" max="3129" width="15.7109375" style="379" customWidth="1"/>
    <col min="3130" max="3130" width="11.140625" style="379" customWidth="1"/>
    <col min="3131" max="3131" width="17.42578125" style="379" customWidth="1"/>
    <col min="3132" max="3132" width="15.7109375" style="379" customWidth="1"/>
    <col min="3133" max="3133" width="11.140625" style="379" customWidth="1"/>
    <col min="3134" max="3134" width="17.42578125" style="379" customWidth="1"/>
    <col min="3135" max="3135" width="13.42578125" style="379" customWidth="1"/>
    <col min="3136" max="3136" width="16.85546875" style="379" customWidth="1"/>
    <col min="3137" max="3137" width="12.7109375" style="379" customWidth="1"/>
    <col min="3138" max="3328" width="12.7109375" style="379"/>
    <col min="3329" max="3329" width="30.140625" style="379" customWidth="1"/>
    <col min="3330" max="3330" width="8.42578125" style="379" customWidth="1"/>
    <col min="3331" max="3331" width="15.7109375" style="379" customWidth="1"/>
    <col min="3332" max="3332" width="11.140625" style="379" customWidth="1"/>
    <col min="3333" max="3333" width="17.42578125" style="379" customWidth="1"/>
    <col min="3334" max="3334" width="15.7109375" style="379" customWidth="1"/>
    <col min="3335" max="3335" width="11.140625" style="379" customWidth="1"/>
    <col min="3336" max="3336" width="17.42578125" style="379" customWidth="1"/>
    <col min="3337" max="3337" width="15.7109375" style="379" customWidth="1"/>
    <col min="3338" max="3338" width="11.140625" style="379" customWidth="1"/>
    <col min="3339" max="3339" width="17.42578125" style="379" customWidth="1"/>
    <col min="3340" max="3340" width="15.7109375" style="379" customWidth="1"/>
    <col min="3341" max="3341" width="11.140625" style="379" customWidth="1"/>
    <col min="3342" max="3342" width="17.42578125" style="379" customWidth="1"/>
    <col min="3343" max="3343" width="15.7109375" style="379" customWidth="1"/>
    <col min="3344" max="3344" width="11.140625" style="379" customWidth="1"/>
    <col min="3345" max="3345" width="17.42578125" style="379" customWidth="1"/>
    <col min="3346" max="3346" width="15.7109375" style="379" customWidth="1"/>
    <col min="3347" max="3347" width="11.140625" style="379" customWidth="1"/>
    <col min="3348" max="3348" width="17.42578125" style="379" customWidth="1"/>
    <col min="3349" max="3349" width="15.7109375" style="379" customWidth="1"/>
    <col min="3350" max="3350" width="11.140625" style="379" customWidth="1"/>
    <col min="3351" max="3351" width="17.42578125" style="379" customWidth="1"/>
    <col min="3352" max="3352" width="15.7109375" style="379" customWidth="1"/>
    <col min="3353" max="3353" width="11.140625" style="379" customWidth="1"/>
    <col min="3354" max="3354" width="17.42578125" style="379" customWidth="1"/>
    <col min="3355" max="3355" width="15.7109375" style="379" customWidth="1"/>
    <col min="3356" max="3356" width="11.140625" style="379" customWidth="1"/>
    <col min="3357" max="3357" width="17.42578125" style="379" customWidth="1"/>
    <col min="3358" max="3358" width="15.7109375" style="379" customWidth="1"/>
    <col min="3359" max="3359" width="11.140625" style="379" customWidth="1"/>
    <col min="3360" max="3360" width="17.42578125" style="379" customWidth="1"/>
    <col min="3361" max="3361" width="15.7109375" style="379" customWidth="1"/>
    <col min="3362" max="3362" width="11.140625" style="379" customWidth="1"/>
    <col min="3363" max="3363" width="17.42578125" style="379" customWidth="1"/>
    <col min="3364" max="3364" width="15.7109375" style="379" customWidth="1"/>
    <col min="3365" max="3365" width="11.140625" style="379" customWidth="1"/>
    <col min="3366" max="3366" width="17.42578125" style="379" customWidth="1"/>
    <col min="3367" max="3367" width="15.7109375" style="379" customWidth="1"/>
    <col min="3368" max="3368" width="11.140625" style="379" customWidth="1"/>
    <col min="3369" max="3369" width="17.42578125" style="379" customWidth="1"/>
    <col min="3370" max="3370" width="15.7109375" style="379" customWidth="1"/>
    <col min="3371" max="3371" width="11.140625" style="379" customWidth="1"/>
    <col min="3372" max="3372" width="17.42578125" style="379" customWidth="1"/>
    <col min="3373" max="3373" width="15.7109375" style="379" customWidth="1"/>
    <col min="3374" max="3374" width="12.140625" style="379" bestFit="1" customWidth="1"/>
    <col min="3375" max="3375" width="17.42578125" style="379" customWidth="1"/>
    <col min="3376" max="3376" width="15.7109375" style="379" customWidth="1"/>
    <col min="3377" max="3377" width="10.28515625" style="379" customWidth="1"/>
    <col min="3378" max="3378" width="17.42578125" style="379" customWidth="1"/>
    <col min="3379" max="3379" width="15.7109375" style="379" customWidth="1"/>
    <col min="3380" max="3380" width="11.140625" style="379" customWidth="1"/>
    <col min="3381" max="3381" width="17.42578125" style="379" customWidth="1"/>
    <col min="3382" max="3382" width="15.7109375" style="379" customWidth="1"/>
    <col min="3383" max="3383" width="11.140625" style="379" customWidth="1"/>
    <col min="3384" max="3384" width="17.42578125" style="379" customWidth="1"/>
    <col min="3385" max="3385" width="15.7109375" style="379" customWidth="1"/>
    <col min="3386" max="3386" width="11.140625" style="379" customWidth="1"/>
    <col min="3387" max="3387" width="17.42578125" style="379" customWidth="1"/>
    <col min="3388" max="3388" width="15.7109375" style="379" customWidth="1"/>
    <col min="3389" max="3389" width="11.140625" style="379" customWidth="1"/>
    <col min="3390" max="3390" width="17.42578125" style="379" customWidth="1"/>
    <col min="3391" max="3391" width="13.42578125" style="379" customWidth="1"/>
    <col min="3392" max="3392" width="16.85546875" style="379" customWidth="1"/>
    <col min="3393" max="3393" width="12.7109375" style="379" customWidth="1"/>
    <col min="3394" max="3584" width="12.7109375" style="379"/>
    <col min="3585" max="3585" width="30.140625" style="379" customWidth="1"/>
    <col min="3586" max="3586" width="8.42578125" style="379" customWidth="1"/>
    <col min="3587" max="3587" width="15.7109375" style="379" customWidth="1"/>
    <col min="3588" max="3588" width="11.140625" style="379" customWidth="1"/>
    <col min="3589" max="3589" width="17.42578125" style="379" customWidth="1"/>
    <col min="3590" max="3590" width="15.7109375" style="379" customWidth="1"/>
    <col min="3591" max="3591" width="11.140625" style="379" customWidth="1"/>
    <col min="3592" max="3592" width="17.42578125" style="379" customWidth="1"/>
    <col min="3593" max="3593" width="15.7109375" style="379" customWidth="1"/>
    <col min="3594" max="3594" width="11.140625" style="379" customWidth="1"/>
    <col min="3595" max="3595" width="17.42578125" style="379" customWidth="1"/>
    <col min="3596" max="3596" width="15.7109375" style="379" customWidth="1"/>
    <col min="3597" max="3597" width="11.140625" style="379" customWidth="1"/>
    <col min="3598" max="3598" width="17.42578125" style="379" customWidth="1"/>
    <col min="3599" max="3599" width="15.7109375" style="379" customWidth="1"/>
    <col min="3600" max="3600" width="11.140625" style="379" customWidth="1"/>
    <col min="3601" max="3601" width="17.42578125" style="379" customWidth="1"/>
    <col min="3602" max="3602" width="15.7109375" style="379" customWidth="1"/>
    <col min="3603" max="3603" width="11.140625" style="379" customWidth="1"/>
    <col min="3604" max="3604" width="17.42578125" style="379" customWidth="1"/>
    <col min="3605" max="3605" width="15.7109375" style="379" customWidth="1"/>
    <col min="3606" max="3606" width="11.140625" style="379" customWidth="1"/>
    <col min="3607" max="3607" width="17.42578125" style="379" customWidth="1"/>
    <col min="3608" max="3608" width="15.7109375" style="379" customWidth="1"/>
    <col min="3609" max="3609" width="11.140625" style="379" customWidth="1"/>
    <col min="3610" max="3610" width="17.42578125" style="379" customWidth="1"/>
    <col min="3611" max="3611" width="15.7109375" style="379" customWidth="1"/>
    <col min="3612" max="3612" width="11.140625" style="379" customWidth="1"/>
    <col min="3613" max="3613" width="17.42578125" style="379" customWidth="1"/>
    <col min="3614" max="3614" width="15.7109375" style="379" customWidth="1"/>
    <col min="3615" max="3615" width="11.140625" style="379" customWidth="1"/>
    <col min="3616" max="3616" width="17.42578125" style="379" customWidth="1"/>
    <col min="3617" max="3617" width="15.7109375" style="379" customWidth="1"/>
    <col min="3618" max="3618" width="11.140625" style="379" customWidth="1"/>
    <col min="3619" max="3619" width="17.42578125" style="379" customWidth="1"/>
    <col min="3620" max="3620" width="15.7109375" style="379" customWidth="1"/>
    <col min="3621" max="3621" width="11.140625" style="379" customWidth="1"/>
    <col min="3622" max="3622" width="17.42578125" style="379" customWidth="1"/>
    <col min="3623" max="3623" width="15.7109375" style="379" customWidth="1"/>
    <col min="3624" max="3624" width="11.140625" style="379" customWidth="1"/>
    <col min="3625" max="3625" width="17.42578125" style="379" customWidth="1"/>
    <col min="3626" max="3626" width="15.7109375" style="379" customWidth="1"/>
    <col min="3627" max="3627" width="11.140625" style="379" customWidth="1"/>
    <col min="3628" max="3628" width="17.42578125" style="379" customWidth="1"/>
    <col min="3629" max="3629" width="15.7109375" style="379" customWidth="1"/>
    <col min="3630" max="3630" width="12.140625" style="379" bestFit="1" customWidth="1"/>
    <col min="3631" max="3631" width="17.42578125" style="379" customWidth="1"/>
    <col min="3632" max="3632" width="15.7109375" style="379" customWidth="1"/>
    <col min="3633" max="3633" width="10.28515625" style="379" customWidth="1"/>
    <col min="3634" max="3634" width="17.42578125" style="379" customWidth="1"/>
    <col min="3635" max="3635" width="15.7109375" style="379" customWidth="1"/>
    <col min="3636" max="3636" width="11.140625" style="379" customWidth="1"/>
    <col min="3637" max="3637" width="17.42578125" style="379" customWidth="1"/>
    <col min="3638" max="3638" width="15.7109375" style="379" customWidth="1"/>
    <col min="3639" max="3639" width="11.140625" style="379" customWidth="1"/>
    <col min="3640" max="3640" width="17.42578125" style="379" customWidth="1"/>
    <col min="3641" max="3641" width="15.7109375" style="379" customWidth="1"/>
    <col min="3642" max="3642" width="11.140625" style="379" customWidth="1"/>
    <col min="3643" max="3643" width="17.42578125" style="379" customWidth="1"/>
    <col min="3644" max="3644" width="15.7109375" style="379" customWidth="1"/>
    <col min="3645" max="3645" width="11.140625" style="379" customWidth="1"/>
    <col min="3646" max="3646" width="17.42578125" style="379" customWidth="1"/>
    <col min="3647" max="3647" width="13.42578125" style="379" customWidth="1"/>
    <col min="3648" max="3648" width="16.85546875" style="379" customWidth="1"/>
    <col min="3649" max="3649" width="12.7109375" style="379" customWidth="1"/>
    <col min="3650" max="3840" width="12.7109375" style="379"/>
    <col min="3841" max="3841" width="30.140625" style="379" customWidth="1"/>
    <col min="3842" max="3842" width="8.42578125" style="379" customWidth="1"/>
    <col min="3843" max="3843" width="15.7109375" style="379" customWidth="1"/>
    <col min="3844" max="3844" width="11.140625" style="379" customWidth="1"/>
    <col min="3845" max="3845" width="17.42578125" style="379" customWidth="1"/>
    <col min="3846" max="3846" width="15.7109375" style="379" customWidth="1"/>
    <col min="3847" max="3847" width="11.140625" style="379" customWidth="1"/>
    <col min="3848" max="3848" width="17.42578125" style="379" customWidth="1"/>
    <col min="3849" max="3849" width="15.7109375" style="379" customWidth="1"/>
    <col min="3850" max="3850" width="11.140625" style="379" customWidth="1"/>
    <col min="3851" max="3851" width="17.42578125" style="379" customWidth="1"/>
    <col min="3852" max="3852" width="15.7109375" style="379" customWidth="1"/>
    <col min="3853" max="3853" width="11.140625" style="379" customWidth="1"/>
    <col min="3854" max="3854" width="17.42578125" style="379" customWidth="1"/>
    <col min="3855" max="3855" width="15.7109375" style="379" customWidth="1"/>
    <col min="3856" max="3856" width="11.140625" style="379" customWidth="1"/>
    <col min="3857" max="3857" width="17.42578125" style="379" customWidth="1"/>
    <col min="3858" max="3858" width="15.7109375" style="379" customWidth="1"/>
    <col min="3859" max="3859" width="11.140625" style="379" customWidth="1"/>
    <col min="3860" max="3860" width="17.42578125" style="379" customWidth="1"/>
    <col min="3861" max="3861" width="15.7109375" style="379" customWidth="1"/>
    <col min="3862" max="3862" width="11.140625" style="379" customWidth="1"/>
    <col min="3863" max="3863" width="17.42578125" style="379" customWidth="1"/>
    <col min="3864" max="3864" width="15.7109375" style="379" customWidth="1"/>
    <col min="3865" max="3865" width="11.140625" style="379" customWidth="1"/>
    <col min="3866" max="3866" width="17.42578125" style="379" customWidth="1"/>
    <col min="3867" max="3867" width="15.7109375" style="379" customWidth="1"/>
    <col min="3868" max="3868" width="11.140625" style="379" customWidth="1"/>
    <col min="3869" max="3869" width="17.42578125" style="379" customWidth="1"/>
    <col min="3870" max="3870" width="15.7109375" style="379" customWidth="1"/>
    <col min="3871" max="3871" width="11.140625" style="379" customWidth="1"/>
    <col min="3872" max="3872" width="17.42578125" style="379" customWidth="1"/>
    <col min="3873" max="3873" width="15.7109375" style="379" customWidth="1"/>
    <col min="3874" max="3874" width="11.140625" style="379" customWidth="1"/>
    <col min="3875" max="3875" width="17.42578125" style="379" customWidth="1"/>
    <col min="3876" max="3876" width="15.7109375" style="379" customWidth="1"/>
    <col min="3877" max="3877" width="11.140625" style="379" customWidth="1"/>
    <col min="3878" max="3878" width="17.42578125" style="379" customWidth="1"/>
    <col min="3879" max="3879" width="15.7109375" style="379" customWidth="1"/>
    <col min="3880" max="3880" width="11.140625" style="379" customWidth="1"/>
    <col min="3881" max="3881" width="17.42578125" style="379" customWidth="1"/>
    <col min="3882" max="3882" width="15.7109375" style="379" customWidth="1"/>
    <col min="3883" max="3883" width="11.140625" style="379" customWidth="1"/>
    <col min="3884" max="3884" width="17.42578125" style="379" customWidth="1"/>
    <col min="3885" max="3885" width="15.7109375" style="379" customWidth="1"/>
    <col min="3886" max="3886" width="12.140625" style="379" bestFit="1" customWidth="1"/>
    <col min="3887" max="3887" width="17.42578125" style="379" customWidth="1"/>
    <col min="3888" max="3888" width="15.7109375" style="379" customWidth="1"/>
    <col min="3889" max="3889" width="10.28515625" style="379" customWidth="1"/>
    <col min="3890" max="3890" width="17.42578125" style="379" customWidth="1"/>
    <col min="3891" max="3891" width="15.7109375" style="379" customWidth="1"/>
    <col min="3892" max="3892" width="11.140625" style="379" customWidth="1"/>
    <col min="3893" max="3893" width="17.42578125" style="379" customWidth="1"/>
    <col min="3894" max="3894" width="15.7109375" style="379" customWidth="1"/>
    <col min="3895" max="3895" width="11.140625" style="379" customWidth="1"/>
    <col min="3896" max="3896" width="17.42578125" style="379" customWidth="1"/>
    <col min="3897" max="3897" width="15.7109375" style="379" customWidth="1"/>
    <col min="3898" max="3898" width="11.140625" style="379" customWidth="1"/>
    <col min="3899" max="3899" width="17.42578125" style="379" customWidth="1"/>
    <col min="3900" max="3900" width="15.7109375" style="379" customWidth="1"/>
    <col min="3901" max="3901" width="11.140625" style="379" customWidth="1"/>
    <col min="3902" max="3902" width="17.42578125" style="379" customWidth="1"/>
    <col min="3903" max="3903" width="13.42578125" style="379" customWidth="1"/>
    <col min="3904" max="3904" width="16.85546875" style="379" customWidth="1"/>
    <col min="3905" max="3905" width="12.7109375" style="379" customWidth="1"/>
    <col min="3906" max="4096" width="12.7109375" style="379"/>
    <col min="4097" max="4097" width="30.140625" style="379" customWidth="1"/>
    <col min="4098" max="4098" width="8.42578125" style="379" customWidth="1"/>
    <col min="4099" max="4099" width="15.7109375" style="379" customWidth="1"/>
    <col min="4100" max="4100" width="11.140625" style="379" customWidth="1"/>
    <col min="4101" max="4101" width="17.42578125" style="379" customWidth="1"/>
    <col min="4102" max="4102" width="15.7109375" style="379" customWidth="1"/>
    <col min="4103" max="4103" width="11.140625" style="379" customWidth="1"/>
    <col min="4104" max="4104" width="17.42578125" style="379" customWidth="1"/>
    <col min="4105" max="4105" width="15.7109375" style="379" customWidth="1"/>
    <col min="4106" max="4106" width="11.140625" style="379" customWidth="1"/>
    <col min="4107" max="4107" width="17.42578125" style="379" customWidth="1"/>
    <col min="4108" max="4108" width="15.7109375" style="379" customWidth="1"/>
    <col min="4109" max="4109" width="11.140625" style="379" customWidth="1"/>
    <col min="4110" max="4110" width="17.42578125" style="379" customWidth="1"/>
    <col min="4111" max="4111" width="15.7109375" style="379" customWidth="1"/>
    <col min="4112" max="4112" width="11.140625" style="379" customWidth="1"/>
    <col min="4113" max="4113" width="17.42578125" style="379" customWidth="1"/>
    <col min="4114" max="4114" width="15.7109375" style="379" customWidth="1"/>
    <col min="4115" max="4115" width="11.140625" style="379" customWidth="1"/>
    <col min="4116" max="4116" width="17.42578125" style="379" customWidth="1"/>
    <col min="4117" max="4117" width="15.7109375" style="379" customWidth="1"/>
    <col min="4118" max="4118" width="11.140625" style="379" customWidth="1"/>
    <col min="4119" max="4119" width="17.42578125" style="379" customWidth="1"/>
    <col min="4120" max="4120" width="15.7109375" style="379" customWidth="1"/>
    <col min="4121" max="4121" width="11.140625" style="379" customWidth="1"/>
    <col min="4122" max="4122" width="17.42578125" style="379" customWidth="1"/>
    <col min="4123" max="4123" width="15.7109375" style="379" customWidth="1"/>
    <col min="4124" max="4124" width="11.140625" style="379" customWidth="1"/>
    <col min="4125" max="4125" width="17.42578125" style="379" customWidth="1"/>
    <col min="4126" max="4126" width="15.7109375" style="379" customWidth="1"/>
    <col min="4127" max="4127" width="11.140625" style="379" customWidth="1"/>
    <col min="4128" max="4128" width="17.42578125" style="379" customWidth="1"/>
    <col min="4129" max="4129" width="15.7109375" style="379" customWidth="1"/>
    <col min="4130" max="4130" width="11.140625" style="379" customWidth="1"/>
    <col min="4131" max="4131" width="17.42578125" style="379" customWidth="1"/>
    <col min="4132" max="4132" width="15.7109375" style="379" customWidth="1"/>
    <col min="4133" max="4133" width="11.140625" style="379" customWidth="1"/>
    <col min="4134" max="4134" width="17.42578125" style="379" customWidth="1"/>
    <col min="4135" max="4135" width="15.7109375" style="379" customWidth="1"/>
    <col min="4136" max="4136" width="11.140625" style="379" customWidth="1"/>
    <col min="4137" max="4137" width="17.42578125" style="379" customWidth="1"/>
    <col min="4138" max="4138" width="15.7109375" style="379" customWidth="1"/>
    <col min="4139" max="4139" width="11.140625" style="379" customWidth="1"/>
    <col min="4140" max="4140" width="17.42578125" style="379" customWidth="1"/>
    <col min="4141" max="4141" width="15.7109375" style="379" customWidth="1"/>
    <col min="4142" max="4142" width="12.140625" style="379" bestFit="1" customWidth="1"/>
    <col min="4143" max="4143" width="17.42578125" style="379" customWidth="1"/>
    <col min="4144" max="4144" width="15.7109375" style="379" customWidth="1"/>
    <col min="4145" max="4145" width="10.28515625" style="379" customWidth="1"/>
    <col min="4146" max="4146" width="17.42578125" style="379" customWidth="1"/>
    <col min="4147" max="4147" width="15.7109375" style="379" customWidth="1"/>
    <col min="4148" max="4148" width="11.140625" style="379" customWidth="1"/>
    <col min="4149" max="4149" width="17.42578125" style="379" customWidth="1"/>
    <col min="4150" max="4150" width="15.7109375" style="379" customWidth="1"/>
    <col min="4151" max="4151" width="11.140625" style="379" customWidth="1"/>
    <col min="4152" max="4152" width="17.42578125" style="379" customWidth="1"/>
    <col min="4153" max="4153" width="15.7109375" style="379" customWidth="1"/>
    <col min="4154" max="4154" width="11.140625" style="379" customWidth="1"/>
    <col min="4155" max="4155" width="17.42578125" style="379" customWidth="1"/>
    <col min="4156" max="4156" width="15.7109375" style="379" customWidth="1"/>
    <col min="4157" max="4157" width="11.140625" style="379" customWidth="1"/>
    <col min="4158" max="4158" width="17.42578125" style="379" customWidth="1"/>
    <col min="4159" max="4159" width="13.42578125" style="379" customWidth="1"/>
    <col min="4160" max="4160" width="16.85546875" style="379" customWidth="1"/>
    <col min="4161" max="4161" width="12.7109375" style="379" customWidth="1"/>
    <col min="4162" max="4352" width="12.7109375" style="379"/>
    <col min="4353" max="4353" width="30.140625" style="379" customWidth="1"/>
    <col min="4354" max="4354" width="8.42578125" style="379" customWidth="1"/>
    <col min="4355" max="4355" width="15.7109375" style="379" customWidth="1"/>
    <col min="4356" max="4356" width="11.140625" style="379" customWidth="1"/>
    <col min="4357" max="4357" width="17.42578125" style="379" customWidth="1"/>
    <col min="4358" max="4358" width="15.7109375" style="379" customWidth="1"/>
    <col min="4359" max="4359" width="11.140625" style="379" customWidth="1"/>
    <col min="4360" max="4360" width="17.42578125" style="379" customWidth="1"/>
    <col min="4361" max="4361" width="15.7109375" style="379" customWidth="1"/>
    <col min="4362" max="4362" width="11.140625" style="379" customWidth="1"/>
    <col min="4363" max="4363" width="17.42578125" style="379" customWidth="1"/>
    <col min="4364" max="4364" width="15.7109375" style="379" customWidth="1"/>
    <col min="4365" max="4365" width="11.140625" style="379" customWidth="1"/>
    <col min="4366" max="4366" width="17.42578125" style="379" customWidth="1"/>
    <col min="4367" max="4367" width="15.7109375" style="379" customWidth="1"/>
    <col min="4368" max="4368" width="11.140625" style="379" customWidth="1"/>
    <col min="4369" max="4369" width="17.42578125" style="379" customWidth="1"/>
    <col min="4370" max="4370" width="15.7109375" style="379" customWidth="1"/>
    <col min="4371" max="4371" width="11.140625" style="379" customWidth="1"/>
    <col min="4372" max="4372" width="17.42578125" style="379" customWidth="1"/>
    <col min="4373" max="4373" width="15.7109375" style="379" customWidth="1"/>
    <col min="4374" max="4374" width="11.140625" style="379" customWidth="1"/>
    <col min="4375" max="4375" width="17.42578125" style="379" customWidth="1"/>
    <col min="4376" max="4376" width="15.7109375" style="379" customWidth="1"/>
    <col min="4377" max="4377" width="11.140625" style="379" customWidth="1"/>
    <col min="4378" max="4378" width="17.42578125" style="379" customWidth="1"/>
    <col min="4379" max="4379" width="15.7109375" style="379" customWidth="1"/>
    <col min="4380" max="4380" width="11.140625" style="379" customWidth="1"/>
    <col min="4381" max="4381" width="17.42578125" style="379" customWidth="1"/>
    <col min="4382" max="4382" width="15.7109375" style="379" customWidth="1"/>
    <col min="4383" max="4383" width="11.140625" style="379" customWidth="1"/>
    <col min="4384" max="4384" width="17.42578125" style="379" customWidth="1"/>
    <col min="4385" max="4385" width="15.7109375" style="379" customWidth="1"/>
    <col min="4386" max="4386" width="11.140625" style="379" customWidth="1"/>
    <col min="4387" max="4387" width="17.42578125" style="379" customWidth="1"/>
    <col min="4388" max="4388" width="15.7109375" style="379" customWidth="1"/>
    <col min="4389" max="4389" width="11.140625" style="379" customWidth="1"/>
    <col min="4390" max="4390" width="17.42578125" style="379" customWidth="1"/>
    <col min="4391" max="4391" width="15.7109375" style="379" customWidth="1"/>
    <col min="4392" max="4392" width="11.140625" style="379" customWidth="1"/>
    <col min="4393" max="4393" width="17.42578125" style="379" customWidth="1"/>
    <col min="4394" max="4394" width="15.7109375" style="379" customWidth="1"/>
    <col min="4395" max="4395" width="11.140625" style="379" customWidth="1"/>
    <col min="4396" max="4396" width="17.42578125" style="379" customWidth="1"/>
    <col min="4397" max="4397" width="15.7109375" style="379" customWidth="1"/>
    <col min="4398" max="4398" width="12.140625" style="379" bestFit="1" customWidth="1"/>
    <col min="4399" max="4399" width="17.42578125" style="379" customWidth="1"/>
    <col min="4400" max="4400" width="15.7109375" style="379" customWidth="1"/>
    <col min="4401" max="4401" width="10.28515625" style="379" customWidth="1"/>
    <col min="4402" max="4402" width="17.42578125" style="379" customWidth="1"/>
    <col min="4403" max="4403" width="15.7109375" style="379" customWidth="1"/>
    <col min="4404" max="4404" width="11.140625" style="379" customWidth="1"/>
    <col min="4405" max="4405" width="17.42578125" style="379" customWidth="1"/>
    <col min="4406" max="4406" width="15.7109375" style="379" customWidth="1"/>
    <col min="4407" max="4407" width="11.140625" style="379" customWidth="1"/>
    <col min="4408" max="4408" width="17.42578125" style="379" customWidth="1"/>
    <col min="4409" max="4409" width="15.7109375" style="379" customWidth="1"/>
    <col min="4410" max="4410" width="11.140625" style="379" customWidth="1"/>
    <col min="4411" max="4411" width="17.42578125" style="379" customWidth="1"/>
    <col min="4412" max="4412" width="15.7109375" style="379" customWidth="1"/>
    <col min="4413" max="4413" width="11.140625" style="379" customWidth="1"/>
    <col min="4414" max="4414" width="17.42578125" style="379" customWidth="1"/>
    <col min="4415" max="4415" width="13.42578125" style="379" customWidth="1"/>
    <col min="4416" max="4416" width="16.85546875" style="379" customWidth="1"/>
    <col min="4417" max="4417" width="12.7109375" style="379" customWidth="1"/>
    <col min="4418" max="4608" width="12.7109375" style="379"/>
    <col min="4609" max="4609" width="30.140625" style="379" customWidth="1"/>
    <col min="4610" max="4610" width="8.42578125" style="379" customWidth="1"/>
    <col min="4611" max="4611" width="15.7109375" style="379" customWidth="1"/>
    <col min="4612" max="4612" width="11.140625" style="379" customWidth="1"/>
    <col min="4613" max="4613" width="17.42578125" style="379" customWidth="1"/>
    <col min="4614" max="4614" width="15.7109375" style="379" customWidth="1"/>
    <col min="4615" max="4615" width="11.140625" style="379" customWidth="1"/>
    <col min="4616" max="4616" width="17.42578125" style="379" customWidth="1"/>
    <col min="4617" max="4617" width="15.7109375" style="379" customWidth="1"/>
    <col min="4618" max="4618" width="11.140625" style="379" customWidth="1"/>
    <col min="4619" max="4619" width="17.42578125" style="379" customWidth="1"/>
    <col min="4620" max="4620" width="15.7109375" style="379" customWidth="1"/>
    <col min="4621" max="4621" width="11.140625" style="379" customWidth="1"/>
    <col min="4622" max="4622" width="17.42578125" style="379" customWidth="1"/>
    <col min="4623" max="4623" width="15.7109375" style="379" customWidth="1"/>
    <col min="4624" max="4624" width="11.140625" style="379" customWidth="1"/>
    <col min="4625" max="4625" width="17.42578125" style="379" customWidth="1"/>
    <col min="4626" max="4626" width="15.7109375" style="379" customWidth="1"/>
    <col min="4627" max="4627" width="11.140625" style="379" customWidth="1"/>
    <col min="4628" max="4628" width="17.42578125" style="379" customWidth="1"/>
    <col min="4629" max="4629" width="15.7109375" style="379" customWidth="1"/>
    <col min="4630" max="4630" width="11.140625" style="379" customWidth="1"/>
    <col min="4631" max="4631" width="17.42578125" style="379" customWidth="1"/>
    <col min="4632" max="4632" width="15.7109375" style="379" customWidth="1"/>
    <col min="4633" max="4633" width="11.140625" style="379" customWidth="1"/>
    <col min="4634" max="4634" width="17.42578125" style="379" customWidth="1"/>
    <col min="4635" max="4635" width="15.7109375" style="379" customWidth="1"/>
    <col min="4636" max="4636" width="11.140625" style="379" customWidth="1"/>
    <col min="4637" max="4637" width="17.42578125" style="379" customWidth="1"/>
    <col min="4638" max="4638" width="15.7109375" style="379" customWidth="1"/>
    <col min="4639" max="4639" width="11.140625" style="379" customWidth="1"/>
    <col min="4640" max="4640" width="17.42578125" style="379" customWidth="1"/>
    <col min="4641" max="4641" width="15.7109375" style="379" customWidth="1"/>
    <col min="4642" max="4642" width="11.140625" style="379" customWidth="1"/>
    <col min="4643" max="4643" width="17.42578125" style="379" customWidth="1"/>
    <col min="4644" max="4644" width="15.7109375" style="379" customWidth="1"/>
    <col min="4645" max="4645" width="11.140625" style="379" customWidth="1"/>
    <col min="4646" max="4646" width="17.42578125" style="379" customWidth="1"/>
    <col min="4647" max="4647" width="15.7109375" style="379" customWidth="1"/>
    <col min="4648" max="4648" width="11.140625" style="379" customWidth="1"/>
    <col min="4649" max="4649" width="17.42578125" style="379" customWidth="1"/>
    <col min="4650" max="4650" width="15.7109375" style="379" customWidth="1"/>
    <col min="4651" max="4651" width="11.140625" style="379" customWidth="1"/>
    <col min="4652" max="4652" width="17.42578125" style="379" customWidth="1"/>
    <col min="4653" max="4653" width="15.7109375" style="379" customWidth="1"/>
    <col min="4654" max="4654" width="12.140625" style="379" bestFit="1" customWidth="1"/>
    <col min="4655" max="4655" width="17.42578125" style="379" customWidth="1"/>
    <col min="4656" max="4656" width="15.7109375" style="379" customWidth="1"/>
    <col min="4657" max="4657" width="10.28515625" style="379" customWidth="1"/>
    <col min="4658" max="4658" width="17.42578125" style="379" customWidth="1"/>
    <col min="4659" max="4659" width="15.7109375" style="379" customWidth="1"/>
    <col min="4660" max="4660" width="11.140625" style="379" customWidth="1"/>
    <col min="4661" max="4661" width="17.42578125" style="379" customWidth="1"/>
    <col min="4662" max="4662" width="15.7109375" style="379" customWidth="1"/>
    <col min="4663" max="4663" width="11.140625" style="379" customWidth="1"/>
    <col min="4664" max="4664" width="17.42578125" style="379" customWidth="1"/>
    <col min="4665" max="4665" width="15.7109375" style="379" customWidth="1"/>
    <col min="4666" max="4666" width="11.140625" style="379" customWidth="1"/>
    <col min="4667" max="4667" width="17.42578125" style="379" customWidth="1"/>
    <col min="4668" max="4668" width="15.7109375" style="379" customWidth="1"/>
    <col min="4669" max="4669" width="11.140625" style="379" customWidth="1"/>
    <col min="4670" max="4670" width="17.42578125" style="379" customWidth="1"/>
    <col min="4671" max="4671" width="13.42578125" style="379" customWidth="1"/>
    <col min="4672" max="4672" width="16.85546875" style="379" customWidth="1"/>
    <col min="4673" max="4673" width="12.7109375" style="379" customWidth="1"/>
    <col min="4674" max="4864" width="12.7109375" style="379"/>
    <col min="4865" max="4865" width="30.140625" style="379" customWidth="1"/>
    <col min="4866" max="4866" width="8.42578125" style="379" customWidth="1"/>
    <col min="4867" max="4867" width="15.7109375" style="379" customWidth="1"/>
    <col min="4868" max="4868" width="11.140625" style="379" customWidth="1"/>
    <col min="4869" max="4869" width="17.42578125" style="379" customWidth="1"/>
    <col min="4870" max="4870" width="15.7109375" style="379" customWidth="1"/>
    <col min="4871" max="4871" width="11.140625" style="379" customWidth="1"/>
    <col min="4872" max="4872" width="17.42578125" style="379" customWidth="1"/>
    <col min="4873" max="4873" width="15.7109375" style="379" customWidth="1"/>
    <col min="4874" max="4874" width="11.140625" style="379" customWidth="1"/>
    <col min="4875" max="4875" width="17.42578125" style="379" customWidth="1"/>
    <col min="4876" max="4876" width="15.7109375" style="379" customWidth="1"/>
    <col min="4877" max="4877" width="11.140625" style="379" customWidth="1"/>
    <col min="4878" max="4878" width="17.42578125" style="379" customWidth="1"/>
    <col min="4879" max="4879" width="15.7109375" style="379" customWidth="1"/>
    <col min="4880" max="4880" width="11.140625" style="379" customWidth="1"/>
    <col min="4881" max="4881" width="17.42578125" style="379" customWidth="1"/>
    <col min="4882" max="4882" width="15.7109375" style="379" customWidth="1"/>
    <col min="4883" max="4883" width="11.140625" style="379" customWidth="1"/>
    <col min="4884" max="4884" width="17.42578125" style="379" customWidth="1"/>
    <col min="4885" max="4885" width="15.7109375" style="379" customWidth="1"/>
    <col min="4886" max="4886" width="11.140625" style="379" customWidth="1"/>
    <col min="4887" max="4887" width="17.42578125" style="379" customWidth="1"/>
    <col min="4888" max="4888" width="15.7109375" style="379" customWidth="1"/>
    <col min="4889" max="4889" width="11.140625" style="379" customWidth="1"/>
    <col min="4890" max="4890" width="17.42578125" style="379" customWidth="1"/>
    <col min="4891" max="4891" width="15.7109375" style="379" customWidth="1"/>
    <col min="4892" max="4892" width="11.140625" style="379" customWidth="1"/>
    <col min="4893" max="4893" width="17.42578125" style="379" customWidth="1"/>
    <col min="4894" max="4894" width="15.7109375" style="379" customWidth="1"/>
    <col min="4895" max="4895" width="11.140625" style="379" customWidth="1"/>
    <col min="4896" max="4896" width="17.42578125" style="379" customWidth="1"/>
    <col min="4897" max="4897" width="15.7109375" style="379" customWidth="1"/>
    <col min="4898" max="4898" width="11.140625" style="379" customWidth="1"/>
    <col min="4899" max="4899" width="17.42578125" style="379" customWidth="1"/>
    <col min="4900" max="4900" width="15.7109375" style="379" customWidth="1"/>
    <col min="4901" max="4901" width="11.140625" style="379" customWidth="1"/>
    <col min="4902" max="4902" width="17.42578125" style="379" customWidth="1"/>
    <col min="4903" max="4903" width="15.7109375" style="379" customWidth="1"/>
    <col min="4904" max="4904" width="11.140625" style="379" customWidth="1"/>
    <col min="4905" max="4905" width="17.42578125" style="379" customWidth="1"/>
    <col min="4906" max="4906" width="15.7109375" style="379" customWidth="1"/>
    <col min="4907" max="4907" width="11.140625" style="379" customWidth="1"/>
    <col min="4908" max="4908" width="17.42578125" style="379" customWidth="1"/>
    <col min="4909" max="4909" width="15.7109375" style="379" customWidth="1"/>
    <col min="4910" max="4910" width="12.140625" style="379" bestFit="1" customWidth="1"/>
    <col min="4911" max="4911" width="17.42578125" style="379" customWidth="1"/>
    <col min="4912" max="4912" width="15.7109375" style="379" customWidth="1"/>
    <col min="4913" max="4913" width="10.28515625" style="379" customWidth="1"/>
    <col min="4914" max="4914" width="17.42578125" style="379" customWidth="1"/>
    <col min="4915" max="4915" width="15.7109375" style="379" customWidth="1"/>
    <col min="4916" max="4916" width="11.140625" style="379" customWidth="1"/>
    <col min="4917" max="4917" width="17.42578125" style="379" customWidth="1"/>
    <col min="4918" max="4918" width="15.7109375" style="379" customWidth="1"/>
    <col min="4919" max="4919" width="11.140625" style="379" customWidth="1"/>
    <col min="4920" max="4920" width="17.42578125" style="379" customWidth="1"/>
    <col min="4921" max="4921" width="15.7109375" style="379" customWidth="1"/>
    <col min="4922" max="4922" width="11.140625" style="379" customWidth="1"/>
    <col min="4923" max="4923" width="17.42578125" style="379" customWidth="1"/>
    <col min="4924" max="4924" width="15.7109375" style="379" customWidth="1"/>
    <col min="4925" max="4925" width="11.140625" style="379" customWidth="1"/>
    <col min="4926" max="4926" width="17.42578125" style="379" customWidth="1"/>
    <col min="4927" max="4927" width="13.42578125" style="379" customWidth="1"/>
    <col min="4928" max="4928" width="16.85546875" style="379" customWidth="1"/>
    <col min="4929" max="4929" width="12.7109375" style="379" customWidth="1"/>
    <col min="4930" max="5120" width="12.7109375" style="379"/>
    <col min="5121" max="5121" width="30.140625" style="379" customWidth="1"/>
    <col min="5122" max="5122" width="8.42578125" style="379" customWidth="1"/>
    <col min="5123" max="5123" width="15.7109375" style="379" customWidth="1"/>
    <col min="5124" max="5124" width="11.140625" style="379" customWidth="1"/>
    <col min="5125" max="5125" width="17.42578125" style="379" customWidth="1"/>
    <col min="5126" max="5126" width="15.7109375" style="379" customWidth="1"/>
    <col min="5127" max="5127" width="11.140625" style="379" customWidth="1"/>
    <col min="5128" max="5128" width="17.42578125" style="379" customWidth="1"/>
    <col min="5129" max="5129" width="15.7109375" style="379" customWidth="1"/>
    <col min="5130" max="5130" width="11.140625" style="379" customWidth="1"/>
    <col min="5131" max="5131" width="17.42578125" style="379" customWidth="1"/>
    <col min="5132" max="5132" width="15.7109375" style="379" customWidth="1"/>
    <col min="5133" max="5133" width="11.140625" style="379" customWidth="1"/>
    <col min="5134" max="5134" width="17.42578125" style="379" customWidth="1"/>
    <col min="5135" max="5135" width="15.7109375" style="379" customWidth="1"/>
    <col min="5136" max="5136" width="11.140625" style="379" customWidth="1"/>
    <col min="5137" max="5137" width="17.42578125" style="379" customWidth="1"/>
    <col min="5138" max="5138" width="15.7109375" style="379" customWidth="1"/>
    <col min="5139" max="5139" width="11.140625" style="379" customWidth="1"/>
    <col min="5140" max="5140" width="17.42578125" style="379" customWidth="1"/>
    <col min="5141" max="5141" width="15.7109375" style="379" customWidth="1"/>
    <col min="5142" max="5142" width="11.140625" style="379" customWidth="1"/>
    <col min="5143" max="5143" width="17.42578125" style="379" customWidth="1"/>
    <col min="5144" max="5144" width="15.7109375" style="379" customWidth="1"/>
    <col min="5145" max="5145" width="11.140625" style="379" customWidth="1"/>
    <col min="5146" max="5146" width="17.42578125" style="379" customWidth="1"/>
    <col min="5147" max="5147" width="15.7109375" style="379" customWidth="1"/>
    <col min="5148" max="5148" width="11.140625" style="379" customWidth="1"/>
    <col min="5149" max="5149" width="17.42578125" style="379" customWidth="1"/>
    <col min="5150" max="5150" width="15.7109375" style="379" customWidth="1"/>
    <col min="5151" max="5151" width="11.140625" style="379" customWidth="1"/>
    <col min="5152" max="5152" width="17.42578125" style="379" customWidth="1"/>
    <col min="5153" max="5153" width="15.7109375" style="379" customWidth="1"/>
    <col min="5154" max="5154" width="11.140625" style="379" customWidth="1"/>
    <col min="5155" max="5155" width="17.42578125" style="379" customWidth="1"/>
    <col min="5156" max="5156" width="15.7109375" style="379" customWidth="1"/>
    <col min="5157" max="5157" width="11.140625" style="379" customWidth="1"/>
    <col min="5158" max="5158" width="17.42578125" style="379" customWidth="1"/>
    <col min="5159" max="5159" width="15.7109375" style="379" customWidth="1"/>
    <col min="5160" max="5160" width="11.140625" style="379" customWidth="1"/>
    <col min="5161" max="5161" width="17.42578125" style="379" customWidth="1"/>
    <col min="5162" max="5162" width="15.7109375" style="379" customWidth="1"/>
    <col min="5163" max="5163" width="11.140625" style="379" customWidth="1"/>
    <col min="5164" max="5164" width="17.42578125" style="379" customWidth="1"/>
    <col min="5165" max="5165" width="15.7109375" style="379" customWidth="1"/>
    <col min="5166" max="5166" width="12.140625" style="379" bestFit="1" customWidth="1"/>
    <col min="5167" max="5167" width="17.42578125" style="379" customWidth="1"/>
    <col min="5168" max="5168" width="15.7109375" style="379" customWidth="1"/>
    <col min="5169" max="5169" width="10.28515625" style="379" customWidth="1"/>
    <col min="5170" max="5170" width="17.42578125" style="379" customWidth="1"/>
    <col min="5171" max="5171" width="15.7109375" style="379" customWidth="1"/>
    <col min="5172" max="5172" width="11.140625" style="379" customWidth="1"/>
    <col min="5173" max="5173" width="17.42578125" style="379" customWidth="1"/>
    <col min="5174" max="5174" width="15.7109375" style="379" customWidth="1"/>
    <col min="5175" max="5175" width="11.140625" style="379" customWidth="1"/>
    <col min="5176" max="5176" width="17.42578125" style="379" customWidth="1"/>
    <col min="5177" max="5177" width="15.7109375" style="379" customWidth="1"/>
    <col min="5178" max="5178" width="11.140625" style="379" customWidth="1"/>
    <col min="5179" max="5179" width="17.42578125" style="379" customWidth="1"/>
    <col min="5180" max="5180" width="15.7109375" style="379" customWidth="1"/>
    <col min="5181" max="5181" width="11.140625" style="379" customWidth="1"/>
    <col min="5182" max="5182" width="17.42578125" style="379" customWidth="1"/>
    <col min="5183" max="5183" width="13.42578125" style="379" customWidth="1"/>
    <col min="5184" max="5184" width="16.85546875" style="379" customWidth="1"/>
    <col min="5185" max="5185" width="12.7109375" style="379" customWidth="1"/>
    <col min="5186" max="5376" width="12.7109375" style="379"/>
    <col min="5377" max="5377" width="30.140625" style="379" customWidth="1"/>
    <col min="5378" max="5378" width="8.42578125" style="379" customWidth="1"/>
    <col min="5379" max="5379" width="15.7109375" style="379" customWidth="1"/>
    <col min="5380" max="5380" width="11.140625" style="379" customWidth="1"/>
    <col min="5381" max="5381" width="17.42578125" style="379" customWidth="1"/>
    <col min="5382" max="5382" width="15.7109375" style="379" customWidth="1"/>
    <col min="5383" max="5383" width="11.140625" style="379" customWidth="1"/>
    <col min="5384" max="5384" width="17.42578125" style="379" customWidth="1"/>
    <col min="5385" max="5385" width="15.7109375" style="379" customWidth="1"/>
    <col min="5386" max="5386" width="11.140625" style="379" customWidth="1"/>
    <col min="5387" max="5387" width="17.42578125" style="379" customWidth="1"/>
    <col min="5388" max="5388" width="15.7109375" style="379" customWidth="1"/>
    <col min="5389" max="5389" width="11.140625" style="379" customWidth="1"/>
    <col min="5390" max="5390" width="17.42578125" style="379" customWidth="1"/>
    <col min="5391" max="5391" width="15.7109375" style="379" customWidth="1"/>
    <col min="5392" max="5392" width="11.140625" style="379" customWidth="1"/>
    <col min="5393" max="5393" width="17.42578125" style="379" customWidth="1"/>
    <col min="5394" max="5394" width="15.7109375" style="379" customWidth="1"/>
    <col min="5395" max="5395" width="11.140625" style="379" customWidth="1"/>
    <col min="5396" max="5396" width="17.42578125" style="379" customWidth="1"/>
    <col min="5397" max="5397" width="15.7109375" style="379" customWidth="1"/>
    <col min="5398" max="5398" width="11.140625" style="379" customWidth="1"/>
    <col min="5399" max="5399" width="17.42578125" style="379" customWidth="1"/>
    <col min="5400" max="5400" width="15.7109375" style="379" customWidth="1"/>
    <col min="5401" max="5401" width="11.140625" style="379" customWidth="1"/>
    <col min="5402" max="5402" width="17.42578125" style="379" customWidth="1"/>
    <col min="5403" max="5403" width="15.7109375" style="379" customWidth="1"/>
    <col min="5404" max="5404" width="11.140625" style="379" customWidth="1"/>
    <col min="5405" max="5405" width="17.42578125" style="379" customWidth="1"/>
    <col min="5406" max="5406" width="15.7109375" style="379" customWidth="1"/>
    <col min="5407" max="5407" width="11.140625" style="379" customWidth="1"/>
    <col min="5408" max="5408" width="17.42578125" style="379" customWidth="1"/>
    <col min="5409" max="5409" width="15.7109375" style="379" customWidth="1"/>
    <col min="5410" max="5410" width="11.140625" style="379" customWidth="1"/>
    <col min="5411" max="5411" width="17.42578125" style="379" customWidth="1"/>
    <col min="5412" max="5412" width="15.7109375" style="379" customWidth="1"/>
    <col min="5413" max="5413" width="11.140625" style="379" customWidth="1"/>
    <col min="5414" max="5414" width="17.42578125" style="379" customWidth="1"/>
    <col min="5415" max="5415" width="15.7109375" style="379" customWidth="1"/>
    <col min="5416" max="5416" width="11.140625" style="379" customWidth="1"/>
    <col min="5417" max="5417" width="17.42578125" style="379" customWidth="1"/>
    <col min="5418" max="5418" width="15.7109375" style="379" customWidth="1"/>
    <col min="5419" max="5419" width="11.140625" style="379" customWidth="1"/>
    <col min="5420" max="5420" width="17.42578125" style="379" customWidth="1"/>
    <col min="5421" max="5421" width="15.7109375" style="379" customWidth="1"/>
    <col min="5422" max="5422" width="12.140625" style="379" bestFit="1" customWidth="1"/>
    <col min="5423" max="5423" width="17.42578125" style="379" customWidth="1"/>
    <col min="5424" max="5424" width="15.7109375" style="379" customWidth="1"/>
    <col min="5425" max="5425" width="10.28515625" style="379" customWidth="1"/>
    <col min="5426" max="5426" width="17.42578125" style="379" customWidth="1"/>
    <col min="5427" max="5427" width="15.7109375" style="379" customWidth="1"/>
    <col min="5428" max="5428" width="11.140625" style="379" customWidth="1"/>
    <col min="5429" max="5429" width="17.42578125" style="379" customWidth="1"/>
    <col min="5430" max="5430" width="15.7109375" style="379" customWidth="1"/>
    <col min="5431" max="5431" width="11.140625" style="379" customWidth="1"/>
    <col min="5432" max="5432" width="17.42578125" style="379" customWidth="1"/>
    <col min="5433" max="5433" width="15.7109375" style="379" customWidth="1"/>
    <col min="5434" max="5434" width="11.140625" style="379" customWidth="1"/>
    <col min="5435" max="5435" width="17.42578125" style="379" customWidth="1"/>
    <col min="5436" max="5436" width="15.7109375" style="379" customWidth="1"/>
    <col min="5437" max="5437" width="11.140625" style="379" customWidth="1"/>
    <col min="5438" max="5438" width="17.42578125" style="379" customWidth="1"/>
    <col min="5439" max="5439" width="13.42578125" style="379" customWidth="1"/>
    <col min="5440" max="5440" width="16.85546875" style="379" customWidth="1"/>
    <col min="5441" max="5441" width="12.7109375" style="379" customWidth="1"/>
    <col min="5442" max="5632" width="12.7109375" style="379"/>
    <col min="5633" max="5633" width="30.140625" style="379" customWidth="1"/>
    <col min="5634" max="5634" width="8.42578125" style="379" customWidth="1"/>
    <col min="5635" max="5635" width="15.7109375" style="379" customWidth="1"/>
    <col min="5636" max="5636" width="11.140625" style="379" customWidth="1"/>
    <col min="5637" max="5637" width="17.42578125" style="379" customWidth="1"/>
    <col min="5638" max="5638" width="15.7109375" style="379" customWidth="1"/>
    <col min="5639" max="5639" width="11.140625" style="379" customWidth="1"/>
    <col min="5640" max="5640" width="17.42578125" style="379" customWidth="1"/>
    <col min="5641" max="5641" width="15.7109375" style="379" customWidth="1"/>
    <col min="5642" max="5642" width="11.140625" style="379" customWidth="1"/>
    <col min="5643" max="5643" width="17.42578125" style="379" customWidth="1"/>
    <col min="5644" max="5644" width="15.7109375" style="379" customWidth="1"/>
    <col min="5645" max="5645" width="11.140625" style="379" customWidth="1"/>
    <col min="5646" max="5646" width="17.42578125" style="379" customWidth="1"/>
    <col min="5647" max="5647" width="15.7109375" style="379" customWidth="1"/>
    <col min="5648" max="5648" width="11.140625" style="379" customWidth="1"/>
    <col min="5649" max="5649" width="17.42578125" style="379" customWidth="1"/>
    <col min="5650" max="5650" width="15.7109375" style="379" customWidth="1"/>
    <col min="5651" max="5651" width="11.140625" style="379" customWidth="1"/>
    <col min="5652" max="5652" width="17.42578125" style="379" customWidth="1"/>
    <col min="5653" max="5653" width="15.7109375" style="379" customWidth="1"/>
    <col min="5654" max="5654" width="11.140625" style="379" customWidth="1"/>
    <col min="5655" max="5655" width="17.42578125" style="379" customWidth="1"/>
    <col min="5656" max="5656" width="15.7109375" style="379" customWidth="1"/>
    <col min="5657" max="5657" width="11.140625" style="379" customWidth="1"/>
    <col min="5658" max="5658" width="17.42578125" style="379" customWidth="1"/>
    <col min="5659" max="5659" width="15.7109375" style="379" customWidth="1"/>
    <col min="5660" max="5660" width="11.140625" style="379" customWidth="1"/>
    <col min="5661" max="5661" width="17.42578125" style="379" customWidth="1"/>
    <col min="5662" max="5662" width="15.7109375" style="379" customWidth="1"/>
    <col min="5663" max="5663" width="11.140625" style="379" customWidth="1"/>
    <col min="5664" max="5664" width="17.42578125" style="379" customWidth="1"/>
    <col min="5665" max="5665" width="15.7109375" style="379" customWidth="1"/>
    <col min="5666" max="5666" width="11.140625" style="379" customWidth="1"/>
    <col min="5667" max="5667" width="17.42578125" style="379" customWidth="1"/>
    <col min="5668" max="5668" width="15.7109375" style="379" customWidth="1"/>
    <col min="5669" max="5669" width="11.140625" style="379" customWidth="1"/>
    <col min="5670" max="5670" width="17.42578125" style="379" customWidth="1"/>
    <col min="5671" max="5671" width="15.7109375" style="379" customWidth="1"/>
    <col min="5672" max="5672" width="11.140625" style="379" customWidth="1"/>
    <col min="5673" max="5673" width="17.42578125" style="379" customWidth="1"/>
    <col min="5674" max="5674" width="15.7109375" style="379" customWidth="1"/>
    <col min="5675" max="5675" width="11.140625" style="379" customWidth="1"/>
    <col min="5676" max="5676" width="17.42578125" style="379" customWidth="1"/>
    <col min="5677" max="5677" width="15.7109375" style="379" customWidth="1"/>
    <col min="5678" max="5678" width="12.140625" style="379" bestFit="1" customWidth="1"/>
    <col min="5679" max="5679" width="17.42578125" style="379" customWidth="1"/>
    <col min="5680" max="5680" width="15.7109375" style="379" customWidth="1"/>
    <col min="5681" max="5681" width="10.28515625" style="379" customWidth="1"/>
    <col min="5682" max="5682" width="17.42578125" style="379" customWidth="1"/>
    <col min="5683" max="5683" width="15.7109375" style="379" customWidth="1"/>
    <col min="5684" max="5684" width="11.140625" style="379" customWidth="1"/>
    <col min="5685" max="5685" width="17.42578125" style="379" customWidth="1"/>
    <col min="5686" max="5686" width="15.7109375" style="379" customWidth="1"/>
    <col min="5687" max="5687" width="11.140625" style="379" customWidth="1"/>
    <col min="5688" max="5688" width="17.42578125" style="379" customWidth="1"/>
    <col min="5689" max="5689" width="15.7109375" style="379" customWidth="1"/>
    <col min="5690" max="5690" width="11.140625" style="379" customWidth="1"/>
    <col min="5691" max="5691" width="17.42578125" style="379" customWidth="1"/>
    <col min="5692" max="5692" width="15.7109375" style="379" customWidth="1"/>
    <col min="5693" max="5693" width="11.140625" style="379" customWidth="1"/>
    <col min="5694" max="5694" width="17.42578125" style="379" customWidth="1"/>
    <col min="5695" max="5695" width="13.42578125" style="379" customWidth="1"/>
    <col min="5696" max="5696" width="16.85546875" style="379" customWidth="1"/>
    <col min="5697" max="5697" width="12.7109375" style="379" customWidth="1"/>
    <col min="5698" max="5888" width="12.7109375" style="379"/>
    <col min="5889" max="5889" width="30.140625" style="379" customWidth="1"/>
    <col min="5890" max="5890" width="8.42578125" style="379" customWidth="1"/>
    <col min="5891" max="5891" width="15.7109375" style="379" customWidth="1"/>
    <col min="5892" max="5892" width="11.140625" style="379" customWidth="1"/>
    <col min="5893" max="5893" width="17.42578125" style="379" customWidth="1"/>
    <col min="5894" max="5894" width="15.7109375" style="379" customWidth="1"/>
    <col min="5895" max="5895" width="11.140625" style="379" customWidth="1"/>
    <col min="5896" max="5896" width="17.42578125" style="379" customWidth="1"/>
    <col min="5897" max="5897" width="15.7109375" style="379" customWidth="1"/>
    <col min="5898" max="5898" width="11.140625" style="379" customWidth="1"/>
    <col min="5899" max="5899" width="17.42578125" style="379" customWidth="1"/>
    <col min="5900" max="5900" width="15.7109375" style="379" customWidth="1"/>
    <col min="5901" max="5901" width="11.140625" style="379" customWidth="1"/>
    <col min="5902" max="5902" width="17.42578125" style="379" customWidth="1"/>
    <col min="5903" max="5903" width="15.7109375" style="379" customWidth="1"/>
    <col min="5904" max="5904" width="11.140625" style="379" customWidth="1"/>
    <col min="5905" max="5905" width="17.42578125" style="379" customWidth="1"/>
    <col min="5906" max="5906" width="15.7109375" style="379" customWidth="1"/>
    <col min="5907" max="5907" width="11.140625" style="379" customWidth="1"/>
    <col min="5908" max="5908" width="17.42578125" style="379" customWidth="1"/>
    <col min="5909" max="5909" width="15.7109375" style="379" customWidth="1"/>
    <col min="5910" max="5910" width="11.140625" style="379" customWidth="1"/>
    <col min="5911" max="5911" width="17.42578125" style="379" customWidth="1"/>
    <col min="5912" max="5912" width="15.7109375" style="379" customWidth="1"/>
    <col min="5913" max="5913" width="11.140625" style="379" customWidth="1"/>
    <col min="5914" max="5914" width="17.42578125" style="379" customWidth="1"/>
    <col min="5915" max="5915" width="15.7109375" style="379" customWidth="1"/>
    <col min="5916" max="5916" width="11.140625" style="379" customWidth="1"/>
    <col min="5917" max="5917" width="17.42578125" style="379" customWidth="1"/>
    <col min="5918" max="5918" width="15.7109375" style="379" customWidth="1"/>
    <col min="5919" max="5919" width="11.140625" style="379" customWidth="1"/>
    <col min="5920" max="5920" width="17.42578125" style="379" customWidth="1"/>
    <col min="5921" max="5921" width="15.7109375" style="379" customWidth="1"/>
    <col min="5922" max="5922" width="11.140625" style="379" customWidth="1"/>
    <col min="5923" max="5923" width="17.42578125" style="379" customWidth="1"/>
    <col min="5924" max="5924" width="15.7109375" style="379" customWidth="1"/>
    <col min="5925" max="5925" width="11.140625" style="379" customWidth="1"/>
    <col min="5926" max="5926" width="17.42578125" style="379" customWidth="1"/>
    <col min="5927" max="5927" width="15.7109375" style="379" customWidth="1"/>
    <col min="5928" max="5928" width="11.140625" style="379" customWidth="1"/>
    <col min="5929" max="5929" width="17.42578125" style="379" customWidth="1"/>
    <col min="5930" max="5930" width="15.7109375" style="379" customWidth="1"/>
    <col min="5931" max="5931" width="11.140625" style="379" customWidth="1"/>
    <col min="5932" max="5932" width="17.42578125" style="379" customWidth="1"/>
    <col min="5933" max="5933" width="15.7109375" style="379" customWidth="1"/>
    <col min="5934" max="5934" width="12.140625" style="379" bestFit="1" customWidth="1"/>
    <col min="5935" max="5935" width="17.42578125" style="379" customWidth="1"/>
    <col min="5936" max="5936" width="15.7109375" style="379" customWidth="1"/>
    <col min="5937" max="5937" width="10.28515625" style="379" customWidth="1"/>
    <col min="5938" max="5938" width="17.42578125" style="379" customWidth="1"/>
    <col min="5939" max="5939" width="15.7109375" style="379" customWidth="1"/>
    <col min="5940" max="5940" width="11.140625" style="379" customWidth="1"/>
    <col min="5941" max="5941" width="17.42578125" style="379" customWidth="1"/>
    <col min="5942" max="5942" width="15.7109375" style="379" customWidth="1"/>
    <col min="5943" max="5943" width="11.140625" style="379" customWidth="1"/>
    <col min="5944" max="5944" width="17.42578125" style="379" customWidth="1"/>
    <col min="5945" max="5945" width="15.7109375" style="379" customWidth="1"/>
    <col min="5946" max="5946" width="11.140625" style="379" customWidth="1"/>
    <col min="5947" max="5947" width="17.42578125" style="379" customWidth="1"/>
    <col min="5948" max="5948" width="15.7109375" style="379" customWidth="1"/>
    <col min="5949" max="5949" width="11.140625" style="379" customWidth="1"/>
    <col min="5950" max="5950" width="17.42578125" style="379" customWidth="1"/>
    <col min="5951" max="5951" width="13.42578125" style="379" customWidth="1"/>
    <col min="5952" max="5952" width="16.85546875" style="379" customWidth="1"/>
    <col min="5953" max="5953" width="12.7109375" style="379" customWidth="1"/>
    <col min="5954" max="6144" width="12.7109375" style="379"/>
    <col min="6145" max="6145" width="30.140625" style="379" customWidth="1"/>
    <col min="6146" max="6146" width="8.42578125" style="379" customWidth="1"/>
    <col min="6147" max="6147" width="15.7109375" style="379" customWidth="1"/>
    <col min="6148" max="6148" width="11.140625" style="379" customWidth="1"/>
    <col min="6149" max="6149" width="17.42578125" style="379" customWidth="1"/>
    <col min="6150" max="6150" width="15.7109375" style="379" customWidth="1"/>
    <col min="6151" max="6151" width="11.140625" style="379" customWidth="1"/>
    <col min="6152" max="6152" width="17.42578125" style="379" customWidth="1"/>
    <col min="6153" max="6153" width="15.7109375" style="379" customWidth="1"/>
    <col min="6154" max="6154" width="11.140625" style="379" customWidth="1"/>
    <col min="6155" max="6155" width="17.42578125" style="379" customWidth="1"/>
    <col min="6156" max="6156" width="15.7109375" style="379" customWidth="1"/>
    <col min="6157" max="6157" width="11.140625" style="379" customWidth="1"/>
    <col min="6158" max="6158" width="17.42578125" style="379" customWidth="1"/>
    <col min="6159" max="6159" width="15.7109375" style="379" customWidth="1"/>
    <col min="6160" max="6160" width="11.140625" style="379" customWidth="1"/>
    <col min="6161" max="6161" width="17.42578125" style="379" customWidth="1"/>
    <col min="6162" max="6162" width="15.7109375" style="379" customWidth="1"/>
    <col min="6163" max="6163" width="11.140625" style="379" customWidth="1"/>
    <col min="6164" max="6164" width="17.42578125" style="379" customWidth="1"/>
    <col min="6165" max="6165" width="15.7109375" style="379" customWidth="1"/>
    <col min="6166" max="6166" width="11.140625" style="379" customWidth="1"/>
    <col min="6167" max="6167" width="17.42578125" style="379" customWidth="1"/>
    <col min="6168" max="6168" width="15.7109375" style="379" customWidth="1"/>
    <col min="6169" max="6169" width="11.140625" style="379" customWidth="1"/>
    <col min="6170" max="6170" width="17.42578125" style="379" customWidth="1"/>
    <col min="6171" max="6171" width="15.7109375" style="379" customWidth="1"/>
    <col min="6172" max="6172" width="11.140625" style="379" customWidth="1"/>
    <col min="6173" max="6173" width="17.42578125" style="379" customWidth="1"/>
    <col min="6174" max="6174" width="15.7109375" style="379" customWidth="1"/>
    <col min="6175" max="6175" width="11.140625" style="379" customWidth="1"/>
    <col min="6176" max="6176" width="17.42578125" style="379" customWidth="1"/>
    <col min="6177" max="6177" width="15.7109375" style="379" customWidth="1"/>
    <col min="6178" max="6178" width="11.140625" style="379" customWidth="1"/>
    <col min="6179" max="6179" width="17.42578125" style="379" customWidth="1"/>
    <col min="6180" max="6180" width="15.7109375" style="379" customWidth="1"/>
    <col min="6181" max="6181" width="11.140625" style="379" customWidth="1"/>
    <col min="6182" max="6182" width="17.42578125" style="379" customWidth="1"/>
    <col min="6183" max="6183" width="15.7109375" style="379" customWidth="1"/>
    <col min="6184" max="6184" width="11.140625" style="379" customWidth="1"/>
    <col min="6185" max="6185" width="17.42578125" style="379" customWidth="1"/>
    <col min="6186" max="6186" width="15.7109375" style="379" customWidth="1"/>
    <col min="6187" max="6187" width="11.140625" style="379" customWidth="1"/>
    <col min="6188" max="6188" width="17.42578125" style="379" customWidth="1"/>
    <col min="6189" max="6189" width="15.7109375" style="379" customWidth="1"/>
    <col min="6190" max="6190" width="12.140625" style="379" bestFit="1" customWidth="1"/>
    <col min="6191" max="6191" width="17.42578125" style="379" customWidth="1"/>
    <col min="6192" max="6192" width="15.7109375" style="379" customWidth="1"/>
    <col min="6193" max="6193" width="10.28515625" style="379" customWidth="1"/>
    <col min="6194" max="6194" width="17.42578125" style="379" customWidth="1"/>
    <col min="6195" max="6195" width="15.7109375" style="379" customWidth="1"/>
    <col min="6196" max="6196" width="11.140625" style="379" customWidth="1"/>
    <col min="6197" max="6197" width="17.42578125" style="379" customWidth="1"/>
    <col min="6198" max="6198" width="15.7109375" style="379" customWidth="1"/>
    <col min="6199" max="6199" width="11.140625" style="379" customWidth="1"/>
    <col min="6200" max="6200" width="17.42578125" style="379" customWidth="1"/>
    <col min="6201" max="6201" width="15.7109375" style="379" customWidth="1"/>
    <col min="6202" max="6202" width="11.140625" style="379" customWidth="1"/>
    <col min="6203" max="6203" width="17.42578125" style="379" customWidth="1"/>
    <col min="6204" max="6204" width="15.7109375" style="379" customWidth="1"/>
    <col min="6205" max="6205" width="11.140625" style="379" customWidth="1"/>
    <col min="6206" max="6206" width="17.42578125" style="379" customWidth="1"/>
    <col min="6207" max="6207" width="13.42578125" style="379" customWidth="1"/>
    <col min="6208" max="6208" width="16.85546875" style="379" customWidth="1"/>
    <col min="6209" max="6209" width="12.7109375" style="379" customWidth="1"/>
    <col min="6210" max="6400" width="12.7109375" style="379"/>
    <col min="6401" max="6401" width="30.140625" style="379" customWidth="1"/>
    <col min="6402" max="6402" width="8.42578125" style="379" customWidth="1"/>
    <col min="6403" max="6403" width="15.7109375" style="379" customWidth="1"/>
    <col min="6404" max="6404" width="11.140625" style="379" customWidth="1"/>
    <col min="6405" max="6405" width="17.42578125" style="379" customWidth="1"/>
    <col min="6406" max="6406" width="15.7109375" style="379" customWidth="1"/>
    <col min="6407" max="6407" width="11.140625" style="379" customWidth="1"/>
    <col min="6408" max="6408" width="17.42578125" style="379" customWidth="1"/>
    <col min="6409" max="6409" width="15.7109375" style="379" customWidth="1"/>
    <col min="6410" max="6410" width="11.140625" style="379" customWidth="1"/>
    <col min="6411" max="6411" width="17.42578125" style="379" customWidth="1"/>
    <col min="6412" max="6412" width="15.7109375" style="379" customWidth="1"/>
    <col min="6413" max="6413" width="11.140625" style="379" customWidth="1"/>
    <col min="6414" max="6414" width="17.42578125" style="379" customWidth="1"/>
    <col min="6415" max="6415" width="15.7109375" style="379" customWidth="1"/>
    <col min="6416" max="6416" width="11.140625" style="379" customWidth="1"/>
    <col min="6417" max="6417" width="17.42578125" style="379" customWidth="1"/>
    <col min="6418" max="6418" width="15.7109375" style="379" customWidth="1"/>
    <col min="6419" max="6419" width="11.140625" style="379" customWidth="1"/>
    <col min="6420" max="6420" width="17.42578125" style="379" customWidth="1"/>
    <col min="6421" max="6421" width="15.7109375" style="379" customWidth="1"/>
    <col min="6422" max="6422" width="11.140625" style="379" customWidth="1"/>
    <col min="6423" max="6423" width="17.42578125" style="379" customWidth="1"/>
    <col min="6424" max="6424" width="15.7109375" style="379" customWidth="1"/>
    <col min="6425" max="6425" width="11.140625" style="379" customWidth="1"/>
    <col min="6426" max="6426" width="17.42578125" style="379" customWidth="1"/>
    <col min="6427" max="6427" width="15.7109375" style="379" customWidth="1"/>
    <col min="6428" max="6428" width="11.140625" style="379" customWidth="1"/>
    <col min="6429" max="6429" width="17.42578125" style="379" customWidth="1"/>
    <col min="6430" max="6430" width="15.7109375" style="379" customWidth="1"/>
    <col min="6431" max="6431" width="11.140625" style="379" customWidth="1"/>
    <col min="6432" max="6432" width="17.42578125" style="379" customWidth="1"/>
    <col min="6433" max="6433" width="15.7109375" style="379" customWidth="1"/>
    <col min="6434" max="6434" width="11.140625" style="379" customWidth="1"/>
    <col min="6435" max="6435" width="17.42578125" style="379" customWidth="1"/>
    <col min="6436" max="6436" width="15.7109375" style="379" customWidth="1"/>
    <col min="6437" max="6437" width="11.140625" style="379" customWidth="1"/>
    <col min="6438" max="6438" width="17.42578125" style="379" customWidth="1"/>
    <col min="6439" max="6439" width="15.7109375" style="379" customWidth="1"/>
    <col min="6440" max="6440" width="11.140625" style="379" customWidth="1"/>
    <col min="6441" max="6441" width="17.42578125" style="379" customWidth="1"/>
    <col min="6442" max="6442" width="15.7109375" style="379" customWidth="1"/>
    <col min="6443" max="6443" width="11.140625" style="379" customWidth="1"/>
    <col min="6444" max="6444" width="17.42578125" style="379" customWidth="1"/>
    <col min="6445" max="6445" width="15.7109375" style="379" customWidth="1"/>
    <col min="6446" max="6446" width="12.140625" style="379" bestFit="1" customWidth="1"/>
    <col min="6447" max="6447" width="17.42578125" style="379" customWidth="1"/>
    <col min="6448" max="6448" width="15.7109375" style="379" customWidth="1"/>
    <col min="6449" max="6449" width="10.28515625" style="379" customWidth="1"/>
    <col min="6450" max="6450" width="17.42578125" style="379" customWidth="1"/>
    <col min="6451" max="6451" width="15.7109375" style="379" customWidth="1"/>
    <col min="6452" max="6452" width="11.140625" style="379" customWidth="1"/>
    <col min="6453" max="6453" width="17.42578125" style="379" customWidth="1"/>
    <col min="6454" max="6454" width="15.7109375" style="379" customWidth="1"/>
    <col min="6455" max="6455" width="11.140625" style="379" customWidth="1"/>
    <col min="6456" max="6456" width="17.42578125" style="379" customWidth="1"/>
    <col min="6457" max="6457" width="15.7109375" style="379" customWidth="1"/>
    <col min="6458" max="6458" width="11.140625" style="379" customWidth="1"/>
    <col min="6459" max="6459" width="17.42578125" style="379" customWidth="1"/>
    <col min="6460" max="6460" width="15.7109375" style="379" customWidth="1"/>
    <col min="6461" max="6461" width="11.140625" style="379" customWidth="1"/>
    <col min="6462" max="6462" width="17.42578125" style="379" customWidth="1"/>
    <col min="6463" max="6463" width="13.42578125" style="379" customWidth="1"/>
    <col min="6464" max="6464" width="16.85546875" style="379" customWidth="1"/>
    <col min="6465" max="6465" width="12.7109375" style="379" customWidth="1"/>
    <col min="6466" max="6656" width="12.7109375" style="379"/>
    <col min="6657" max="6657" width="30.140625" style="379" customWidth="1"/>
    <col min="6658" max="6658" width="8.42578125" style="379" customWidth="1"/>
    <col min="6659" max="6659" width="15.7109375" style="379" customWidth="1"/>
    <col min="6660" max="6660" width="11.140625" style="379" customWidth="1"/>
    <col min="6661" max="6661" width="17.42578125" style="379" customWidth="1"/>
    <col min="6662" max="6662" width="15.7109375" style="379" customWidth="1"/>
    <col min="6663" max="6663" width="11.140625" style="379" customWidth="1"/>
    <col min="6664" max="6664" width="17.42578125" style="379" customWidth="1"/>
    <col min="6665" max="6665" width="15.7109375" style="379" customWidth="1"/>
    <col min="6666" max="6666" width="11.140625" style="379" customWidth="1"/>
    <col min="6667" max="6667" width="17.42578125" style="379" customWidth="1"/>
    <col min="6668" max="6668" width="15.7109375" style="379" customWidth="1"/>
    <col min="6669" max="6669" width="11.140625" style="379" customWidth="1"/>
    <col min="6670" max="6670" width="17.42578125" style="379" customWidth="1"/>
    <col min="6671" max="6671" width="15.7109375" style="379" customWidth="1"/>
    <col min="6672" max="6672" width="11.140625" style="379" customWidth="1"/>
    <col min="6673" max="6673" width="17.42578125" style="379" customWidth="1"/>
    <col min="6674" max="6674" width="15.7109375" style="379" customWidth="1"/>
    <col min="6675" max="6675" width="11.140625" style="379" customWidth="1"/>
    <col min="6676" max="6676" width="17.42578125" style="379" customWidth="1"/>
    <col min="6677" max="6677" width="15.7109375" style="379" customWidth="1"/>
    <col min="6678" max="6678" width="11.140625" style="379" customWidth="1"/>
    <col min="6679" max="6679" width="17.42578125" style="379" customWidth="1"/>
    <col min="6680" max="6680" width="15.7109375" style="379" customWidth="1"/>
    <col min="6681" max="6681" width="11.140625" style="379" customWidth="1"/>
    <col min="6682" max="6682" width="17.42578125" style="379" customWidth="1"/>
    <col min="6683" max="6683" width="15.7109375" style="379" customWidth="1"/>
    <col min="6684" max="6684" width="11.140625" style="379" customWidth="1"/>
    <col min="6685" max="6685" width="17.42578125" style="379" customWidth="1"/>
    <col min="6686" max="6686" width="15.7109375" style="379" customWidth="1"/>
    <col min="6687" max="6687" width="11.140625" style="379" customWidth="1"/>
    <col min="6688" max="6688" width="17.42578125" style="379" customWidth="1"/>
    <col min="6689" max="6689" width="15.7109375" style="379" customWidth="1"/>
    <col min="6690" max="6690" width="11.140625" style="379" customWidth="1"/>
    <col min="6691" max="6691" width="17.42578125" style="379" customWidth="1"/>
    <col min="6692" max="6692" width="15.7109375" style="379" customWidth="1"/>
    <col min="6693" max="6693" width="11.140625" style="379" customWidth="1"/>
    <col min="6694" max="6694" width="17.42578125" style="379" customWidth="1"/>
    <col min="6695" max="6695" width="15.7109375" style="379" customWidth="1"/>
    <col min="6696" max="6696" width="11.140625" style="379" customWidth="1"/>
    <col min="6697" max="6697" width="17.42578125" style="379" customWidth="1"/>
    <col min="6698" max="6698" width="15.7109375" style="379" customWidth="1"/>
    <col min="6699" max="6699" width="11.140625" style="379" customWidth="1"/>
    <col min="6700" max="6700" width="17.42578125" style="379" customWidth="1"/>
    <col min="6701" max="6701" width="15.7109375" style="379" customWidth="1"/>
    <col min="6702" max="6702" width="12.140625" style="379" bestFit="1" customWidth="1"/>
    <col min="6703" max="6703" width="17.42578125" style="379" customWidth="1"/>
    <col min="6704" max="6704" width="15.7109375" style="379" customWidth="1"/>
    <col min="6705" max="6705" width="10.28515625" style="379" customWidth="1"/>
    <col min="6706" max="6706" width="17.42578125" style="379" customWidth="1"/>
    <col min="6707" max="6707" width="15.7109375" style="379" customWidth="1"/>
    <col min="6708" max="6708" width="11.140625" style="379" customWidth="1"/>
    <col min="6709" max="6709" width="17.42578125" style="379" customWidth="1"/>
    <col min="6710" max="6710" width="15.7109375" style="379" customWidth="1"/>
    <col min="6711" max="6711" width="11.140625" style="379" customWidth="1"/>
    <col min="6712" max="6712" width="17.42578125" style="379" customWidth="1"/>
    <col min="6713" max="6713" width="15.7109375" style="379" customWidth="1"/>
    <col min="6714" max="6714" width="11.140625" style="379" customWidth="1"/>
    <col min="6715" max="6715" width="17.42578125" style="379" customWidth="1"/>
    <col min="6716" max="6716" width="15.7109375" style="379" customWidth="1"/>
    <col min="6717" max="6717" width="11.140625" style="379" customWidth="1"/>
    <col min="6718" max="6718" width="17.42578125" style="379" customWidth="1"/>
    <col min="6719" max="6719" width="13.42578125" style="379" customWidth="1"/>
    <col min="6720" max="6720" width="16.85546875" style="379" customWidth="1"/>
    <col min="6721" max="6721" width="12.7109375" style="379" customWidth="1"/>
    <col min="6722" max="6912" width="12.7109375" style="379"/>
    <col min="6913" max="6913" width="30.140625" style="379" customWidth="1"/>
    <col min="6914" max="6914" width="8.42578125" style="379" customWidth="1"/>
    <col min="6915" max="6915" width="15.7109375" style="379" customWidth="1"/>
    <col min="6916" max="6916" width="11.140625" style="379" customWidth="1"/>
    <col min="6917" max="6917" width="17.42578125" style="379" customWidth="1"/>
    <col min="6918" max="6918" width="15.7109375" style="379" customWidth="1"/>
    <col min="6919" max="6919" width="11.140625" style="379" customWidth="1"/>
    <col min="6920" max="6920" width="17.42578125" style="379" customWidth="1"/>
    <col min="6921" max="6921" width="15.7109375" style="379" customWidth="1"/>
    <col min="6922" max="6922" width="11.140625" style="379" customWidth="1"/>
    <col min="6923" max="6923" width="17.42578125" style="379" customWidth="1"/>
    <col min="6924" max="6924" width="15.7109375" style="379" customWidth="1"/>
    <col min="6925" max="6925" width="11.140625" style="379" customWidth="1"/>
    <col min="6926" max="6926" width="17.42578125" style="379" customWidth="1"/>
    <col min="6927" max="6927" width="15.7109375" style="379" customWidth="1"/>
    <col min="6928" max="6928" width="11.140625" style="379" customWidth="1"/>
    <col min="6929" max="6929" width="17.42578125" style="379" customWidth="1"/>
    <col min="6930" max="6930" width="15.7109375" style="379" customWidth="1"/>
    <col min="6931" max="6931" width="11.140625" style="379" customWidth="1"/>
    <col min="6932" max="6932" width="17.42578125" style="379" customWidth="1"/>
    <col min="6933" max="6933" width="15.7109375" style="379" customWidth="1"/>
    <col min="6934" max="6934" width="11.140625" style="379" customWidth="1"/>
    <col min="6935" max="6935" width="17.42578125" style="379" customWidth="1"/>
    <col min="6936" max="6936" width="15.7109375" style="379" customWidth="1"/>
    <col min="6937" max="6937" width="11.140625" style="379" customWidth="1"/>
    <col min="6938" max="6938" width="17.42578125" style="379" customWidth="1"/>
    <col min="6939" max="6939" width="15.7109375" style="379" customWidth="1"/>
    <col min="6940" max="6940" width="11.140625" style="379" customWidth="1"/>
    <col min="6941" max="6941" width="17.42578125" style="379" customWidth="1"/>
    <col min="6942" max="6942" width="15.7109375" style="379" customWidth="1"/>
    <col min="6943" max="6943" width="11.140625" style="379" customWidth="1"/>
    <col min="6944" max="6944" width="17.42578125" style="379" customWidth="1"/>
    <col min="6945" max="6945" width="15.7109375" style="379" customWidth="1"/>
    <col min="6946" max="6946" width="11.140625" style="379" customWidth="1"/>
    <col min="6947" max="6947" width="17.42578125" style="379" customWidth="1"/>
    <col min="6948" max="6948" width="15.7109375" style="379" customWidth="1"/>
    <col min="6949" max="6949" width="11.140625" style="379" customWidth="1"/>
    <col min="6950" max="6950" width="17.42578125" style="379" customWidth="1"/>
    <col min="6951" max="6951" width="15.7109375" style="379" customWidth="1"/>
    <col min="6952" max="6952" width="11.140625" style="379" customWidth="1"/>
    <col min="6953" max="6953" width="17.42578125" style="379" customWidth="1"/>
    <col min="6954" max="6954" width="15.7109375" style="379" customWidth="1"/>
    <col min="6955" max="6955" width="11.140625" style="379" customWidth="1"/>
    <col min="6956" max="6956" width="17.42578125" style="379" customWidth="1"/>
    <col min="6957" max="6957" width="15.7109375" style="379" customWidth="1"/>
    <col min="6958" max="6958" width="12.140625" style="379" bestFit="1" customWidth="1"/>
    <col min="6959" max="6959" width="17.42578125" style="379" customWidth="1"/>
    <col min="6960" max="6960" width="15.7109375" style="379" customWidth="1"/>
    <col min="6961" max="6961" width="10.28515625" style="379" customWidth="1"/>
    <col min="6962" max="6962" width="17.42578125" style="379" customWidth="1"/>
    <col min="6963" max="6963" width="15.7109375" style="379" customWidth="1"/>
    <col min="6964" max="6964" width="11.140625" style="379" customWidth="1"/>
    <col min="6965" max="6965" width="17.42578125" style="379" customWidth="1"/>
    <col min="6966" max="6966" width="15.7109375" style="379" customWidth="1"/>
    <col min="6967" max="6967" width="11.140625" style="379" customWidth="1"/>
    <col min="6968" max="6968" width="17.42578125" style="379" customWidth="1"/>
    <col min="6969" max="6969" width="15.7109375" style="379" customWidth="1"/>
    <col min="6970" max="6970" width="11.140625" style="379" customWidth="1"/>
    <col min="6971" max="6971" width="17.42578125" style="379" customWidth="1"/>
    <col min="6972" max="6972" width="15.7109375" style="379" customWidth="1"/>
    <col min="6973" max="6973" width="11.140625" style="379" customWidth="1"/>
    <col min="6974" max="6974" width="17.42578125" style="379" customWidth="1"/>
    <col min="6975" max="6975" width="13.42578125" style="379" customWidth="1"/>
    <col min="6976" max="6976" width="16.85546875" style="379" customWidth="1"/>
    <col min="6977" max="6977" width="12.7109375" style="379" customWidth="1"/>
    <col min="6978" max="7168" width="12.7109375" style="379"/>
    <col min="7169" max="7169" width="30.140625" style="379" customWidth="1"/>
    <col min="7170" max="7170" width="8.42578125" style="379" customWidth="1"/>
    <col min="7171" max="7171" width="15.7109375" style="379" customWidth="1"/>
    <col min="7172" max="7172" width="11.140625" style="379" customWidth="1"/>
    <col min="7173" max="7173" width="17.42578125" style="379" customWidth="1"/>
    <col min="7174" max="7174" width="15.7109375" style="379" customWidth="1"/>
    <col min="7175" max="7175" width="11.140625" style="379" customWidth="1"/>
    <col min="7176" max="7176" width="17.42578125" style="379" customWidth="1"/>
    <col min="7177" max="7177" width="15.7109375" style="379" customWidth="1"/>
    <col min="7178" max="7178" width="11.140625" style="379" customWidth="1"/>
    <col min="7179" max="7179" width="17.42578125" style="379" customWidth="1"/>
    <col min="7180" max="7180" width="15.7109375" style="379" customWidth="1"/>
    <col min="7181" max="7181" width="11.140625" style="379" customWidth="1"/>
    <col min="7182" max="7182" width="17.42578125" style="379" customWidth="1"/>
    <col min="7183" max="7183" width="15.7109375" style="379" customWidth="1"/>
    <col min="7184" max="7184" width="11.140625" style="379" customWidth="1"/>
    <col min="7185" max="7185" width="17.42578125" style="379" customWidth="1"/>
    <col min="7186" max="7186" width="15.7109375" style="379" customWidth="1"/>
    <col min="7187" max="7187" width="11.140625" style="379" customWidth="1"/>
    <col min="7188" max="7188" width="17.42578125" style="379" customWidth="1"/>
    <col min="7189" max="7189" width="15.7109375" style="379" customWidth="1"/>
    <col min="7190" max="7190" width="11.140625" style="379" customWidth="1"/>
    <col min="7191" max="7191" width="17.42578125" style="379" customWidth="1"/>
    <col min="7192" max="7192" width="15.7109375" style="379" customWidth="1"/>
    <col min="7193" max="7193" width="11.140625" style="379" customWidth="1"/>
    <col min="7194" max="7194" width="17.42578125" style="379" customWidth="1"/>
    <col min="7195" max="7195" width="15.7109375" style="379" customWidth="1"/>
    <col min="7196" max="7196" width="11.140625" style="379" customWidth="1"/>
    <col min="7197" max="7197" width="17.42578125" style="379" customWidth="1"/>
    <col min="7198" max="7198" width="15.7109375" style="379" customWidth="1"/>
    <col min="7199" max="7199" width="11.140625" style="379" customWidth="1"/>
    <col min="7200" max="7200" width="17.42578125" style="379" customWidth="1"/>
    <col min="7201" max="7201" width="15.7109375" style="379" customWidth="1"/>
    <col min="7202" max="7202" width="11.140625" style="379" customWidth="1"/>
    <col min="7203" max="7203" width="17.42578125" style="379" customWidth="1"/>
    <col min="7204" max="7204" width="15.7109375" style="379" customWidth="1"/>
    <col min="7205" max="7205" width="11.140625" style="379" customWidth="1"/>
    <col min="7206" max="7206" width="17.42578125" style="379" customWidth="1"/>
    <col min="7207" max="7207" width="15.7109375" style="379" customWidth="1"/>
    <col min="7208" max="7208" width="11.140625" style="379" customWidth="1"/>
    <col min="7209" max="7209" width="17.42578125" style="379" customWidth="1"/>
    <col min="7210" max="7210" width="15.7109375" style="379" customWidth="1"/>
    <col min="7211" max="7211" width="11.140625" style="379" customWidth="1"/>
    <col min="7212" max="7212" width="17.42578125" style="379" customWidth="1"/>
    <col min="7213" max="7213" width="15.7109375" style="379" customWidth="1"/>
    <col min="7214" max="7214" width="12.140625" style="379" bestFit="1" customWidth="1"/>
    <col min="7215" max="7215" width="17.42578125" style="379" customWidth="1"/>
    <col min="7216" max="7216" width="15.7109375" style="379" customWidth="1"/>
    <col min="7217" max="7217" width="10.28515625" style="379" customWidth="1"/>
    <col min="7218" max="7218" width="17.42578125" style="379" customWidth="1"/>
    <col min="7219" max="7219" width="15.7109375" style="379" customWidth="1"/>
    <col min="7220" max="7220" width="11.140625" style="379" customWidth="1"/>
    <col min="7221" max="7221" width="17.42578125" style="379" customWidth="1"/>
    <col min="7222" max="7222" width="15.7109375" style="379" customWidth="1"/>
    <col min="7223" max="7223" width="11.140625" style="379" customWidth="1"/>
    <col min="7224" max="7224" width="17.42578125" style="379" customWidth="1"/>
    <col min="7225" max="7225" width="15.7109375" style="379" customWidth="1"/>
    <col min="7226" max="7226" width="11.140625" style="379" customWidth="1"/>
    <col min="7227" max="7227" width="17.42578125" style="379" customWidth="1"/>
    <col min="7228" max="7228" width="15.7109375" style="379" customWidth="1"/>
    <col min="7229" max="7229" width="11.140625" style="379" customWidth="1"/>
    <col min="7230" max="7230" width="17.42578125" style="379" customWidth="1"/>
    <col min="7231" max="7231" width="13.42578125" style="379" customWidth="1"/>
    <col min="7232" max="7232" width="16.85546875" style="379" customWidth="1"/>
    <col min="7233" max="7233" width="12.7109375" style="379" customWidth="1"/>
    <col min="7234" max="7424" width="12.7109375" style="379"/>
    <col min="7425" max="7425" width="30.140625" style="379" customWidth="1"/>
    <col min="7426" max="7426" width="8.42578125" style="379" customWidth="1"/>
    <col min="7427" max="7427" width="15.7109375" style="379" customWidth="1"/>
    <col min="7428" max="7428" width="11.140625" style="379" customWidth="1"/>
    <col min="7429" max="7429" width="17.42578125" style="379" customWidth="1"/>
    <col min="7430" max="7430" width="15.7109375" style="379" customWidth="1"/>
    <col min="7431" max="7431" width="11.140625" style="379" customWidth="1"/>
    <col min="7432" max="7432" width="17.42578125" style="379" customWidth="1"/>
    <col min="7433" max="7433" width="15.7109375" style="379" customWidth="1"/>
    <col min="7434" max="7434" width="11.140625" style="379" customWidth="1"/>
    <col min="7435" max="7435" width="17.42578125" style="379" customWidth="1"/>
    <col min="7436" max="7436" width="15.7109375" style="379" customWidth="1"/>
    <col min="7437" max="7437" width="11.140625" style="379" customWidth="1"/>
    <col min="7438" max="7438" width="17.42578125" style="379" customWidth="1"/>
    <col min="7439" max="7439" width="15.7109375" style="379" customWidth="1"/>
    <col min="7440" max="7440" width="11.140625" style="379" customWidth="1"/>
    <col min="7441" max="7441" width="17.42578125" style="379" customWidth="1"/>
    <col min="7442" max="7442" width="15.7109375" style="379" customWidth="1"/>
    <col min="7443" max="7443" width="11.140625" style="379" customWidth="1"/>
    <col min="7444" max="7444" width="17.42578125" style="379" customWidth="1"/>
    <col min="7445" max="7445" width="15.7109375" style="379" customWidth="1"/>
    <col min="7446" max="7446" width="11.140625" style="379" customWidth="1"/>
    <col min="7447" max="7447" width="17.42578125" style="379" customWidth="1"/>
    <col min="7448" max="7448" width="15.7109375" style="379" customWidth="1"/>
    <col min="7449" max="7449" width="11.140625" style="379" customWidth="1"/>
    <col min="7450" max="7450" width="17.42578125" style="379" customWidth="1"/>
    <col min="7451" max="7451" width="15.7109375" style="379" customWidth="1"/>
    <col min="7452" max="7452" width="11.140625" style="379" customWidth="1"/>
    <col min="7453" max="7453" width="17.42578125" style="379" customWidth="1"/>
    <col min="7454" max="7454" width="15.7109375" style="379" customWidth="1"/>
    <col min="7455" max="7455" width="11.140625" style="379" customWidth="1"/>
    <col min="7456" max="7456" width="17.42578125" style="379" customWidth="1"/>
    <col min="7457" max="7457" width="15.7109375" style="379" customWidth="1"/>
    <col min="7458" max="7458" width="11.140625" style="379" customWidth="1"/>
    <col min="7459" max="7459" width="17.42578125" style="379" customWidth="1"/>
    <col min="7460" max="7460" width="15.7109375" style="379" customWidth="1"/>
    <col min="7461" max="7461" width="11.140625" style="379" customWidth="1"/>
    <col min="7462" max="7462" width="17.42578125" style="379" customWidth="1"/>
    <col min="7463" max="7463" width="15.7109375" style="379" customWidth="1"/>
    <col min="7464" max="7464" width="11.140625" style="379" customWidth="1"/>
    <col min="7465" max="7465" width="17.42578125" style="379" customWidth="1"/>
    <col min="7466" max="7466" width="15.7109375" style="379" customWidth="1"/>
    <col min="7467" max="7467" width="11.140625" style="379" customWidth="1"/>
    <col min="7468" max="7468" width="17.42578125" style="379" customWidth="1"/>
    <col min="7469" max="7469" width="15.7109375" style="379" customWidth="1"/>
    <col min="7470" max="7470" width="12.140625" style="379" bestFit="1" customWidth="1"/>
    <col min="7471" max="7471" width="17.42578125" style="379" customWidth="1"/>
    <col min="7472" max="7472" width="15.7109375" style="379" customWidth="1"/>
    <col min="7473" max="7473" width="10.28515625" style="379" customWidth="1"/>
    <col min="7474" max="7474" width="17.42578125" style="379" customWidth="1"/>
    <col min="7475" max="7475" width="15.7109375" style="379" customWidth="1"/>
    <col min="7476" max="7476" width="11.140625" style="379" customWidth="1"/>
    <col min="7477" max="7477" width="17.42578125" style="379" customWidth="1"/>
    <col min="7478" max="7478" width="15.7109375" style="379" customWidth="1"/>
    <col min="7479" max="7479" width="11.140625" style="379" customWidth="1"/>
    <col min="7480" max="7480" width="17.42578125" style="379" customWidth="1"/>
    <col min="7481" max="7481" width="15.7109375" style="379" customWidth="1"/>
    <col min="7482" max="7482" width="11.140625" style="379" customWidth="1"/>
    <col min="7483" max="7483" width="17.42578125" style="379" customWidth="1"/>
    <col min="7484" max="7484" width="15.7109375" style="379" customWidth="1"/>
    <col min="7485" max="7485" width="11.140625" style="379" customWidth="1"/>
    <col min="7486" max="7486" width="17.42578125" style="379" customWidth="1"/>
    <col min="7487" max="7487" width="13.42578125" style="379" customWidth="1"/>
    <col min="7488" max="7488" width="16.85546875" style="379" customWidth="1"/>
    <col min="7489" max="7489" width="12.7109375" style="379" customWidth="1"/>
    <col min="7490" max="7680" width="12.7109375" style="379"/>
    <col min="7681" max="7681" width="30.140625" style="379" customWidth="1"/>
    <col min="7682" max="7682" width="8.42578125" style="379" customWidth="1"/>
    <col min="7683" max="7683" width="15.7109375" style="379" customWidth="1"/>
    <col min="7684" max="7684" width="11.140625" style="379" customWidth="1"/>
    <col min="7685" max="7685" width="17.42578125" style="379" customWidth="1"/>
    <col min="7686" max="7686" width="15.7109375" style="379" customWidth="1"/>
    <col min="7687" max="7687" width="11.140625" style="379" customWidth="1"/>
    <col min="7688" max="7688" width="17.42578125" style="379" customWidth="1"/>
    <col min="7689" max="7689" width="15.7109375" style="379" customWidth="1"/>
    <col min="7690" max="7690" width="11.140625" style="379" customWidth="1"/>
    <col min="7691" max="7691" width="17.42578125" style="379" customWidth="1"/>
    <col min="7692" max="7692" width="15.7109375" style="379" customWidth="1"/>
    <col min="7693" max="7693" width="11.140625" style="379" customWidth="1"/>
    <col min="7694" max="7694" width="17.42578125" style="379" customWidth="1"/>
    <col min="7695" max="7695" width="15.7109375" style="379" customWidth="1"/>
    <col min="7696" max="7696" width="11.140625" style="379" customWidth="1"/>
    <col min="7697" max="7697" width="17.42578125" style="379" customWidth="1"/>
    <col min="7698" max="7698" width="15.7109375" style="379" customWidth="1"/>
    <col min="7699" max="7699" width="11.140625" style="379" customWidth="1"/>
    <col min="7700" max="7700" width="17.42578125" style="379" customWidth="1"/>
    <col min="7701" max="7701" width="15.7109375" style="379" customWidth="1"/>
    <col min="7702" max="7702" width="11.140625" style="379" customWidth="1"/>
    <col min="7703" max="7703" width="17.42578125" style="379" customWidth="1"/>
    <col min="7704" max="7704" width="15.7109375" style="379" customWidth="1"/>
    <col min="7705" max="7705" width="11.140625" style="379" customWidth="1"/>
    <col min="7706" max="7706" width="17.42578125" style="379" customWidth="1"/>
    <col min="7707" max="7707" width="15.7109375" style="379" customWidth="1"/>
    <col min="7708" max="7708" width="11.140625" style="379" customWidth="1"/>
    <col min="7709" max="7709" width="17.42578125" style="379" customWidth="1"/>
    <col min="7710" max="7710" width="15.7109375" style="379" customWidth="1"/>
    <col min="7711" max="7711" width="11.140625" style="379" customWidth="1"/>
    <col min="7712" max="7712" width="17.42578125" style="379" customWidth="1"/>
    <col min="7713" max="7713" width="15.7109375" style="379" customWidth="1"/>
    <col min="7714" max="7714" width="11.140625" style="379" customWidth="1"/>
    <col min="7715" max="7715" width="17.42578125" style="379" customWidth="1"/>
    <col min="7716" max="7716" width="15.7109375" style="379" customWidth="1"/>
    <col min="7717" max="7717" width="11.140625" style="379" customWidth="1"/>
    <col min="7718" max="7718" width="17.42578125" style="379" customWidth="1"/>
    <col min="7719" max="7719" width="15.7109375" style="379" customWidth="1"/>
    <col min="7720" max="7720" width="11.140625" style="379" customWidth="1"/>
    <col min="7721" max="7721" width="17.42578125" style="379" customWidth="1"/>
    <col min="7722" max="7722" width="15.7109375" style="379" customWidth="1"/>
    <col min="7723" max="7723" width="11.140625" style="379" customWidth="1"/>
    <col min="7724" max="7724" width="17.42578125" style="379" customWidth="1"/>
    <col min="7725" max="7725" width="15.7109375" style="379" customWidth="1"/>
    <col min="7726" max="7726" width="12.140625" style="379" bestFit="1" customWidth="1"/>
    <col min="7727" max="7727" width="17.42578125" style="379" customWidth="1"/>
    <col min="7728" max="7728" width="15.7109375" style="379" customWidth="1"/>
    <col min="7729" max="7729" width="10.28515625" style="379" customWidth="1"/>
    <col min="7730" max="7730" width="17.42578125" style="379" customWidth="1"/>
    <col min="7731" max="7731" width="15.7109375" style="379" customWidth="1"/>
    <col min="7732" max="7732" width="11.140625" style="379" customWidth="1"/>
    <col min="7733" max="7733" width="17.42578125" style="379" customWidth="1"/>
    <col min="7734" max="7734" width="15.7109375" style="379" customWidth="1"/>
    <col min="7735" max="7735" width="11.140625" style="379" customWidth="1"/>
    <col min="7736" max="7736" width="17.42578125" style="379" customWidth="1"/>
    <col min="7737" max="7737" width="15.7109375" style="379" customWidth="1"/>
    <col min="7738" max="7738" width="11.140625" style="379" customWidth="1"/>
    <col min="7739" max="7739" width="17.42578125" style="379" customWidth="1"/>
    <col min="7740" max="7740" width="15.7109375" style="379" customWidth="1"/>
    <col min="7741" max="7741" width="11.140625" style="379" customWidth="1"/>
    <col min="7742" max="7742" width="17.42578125" style="379" customWidth="1"/>
    <col min="7743" max="7743" width="13.42578125" style="379" customWidth="1"/>
    <col min="7744" max="7744" width="16.85546875" style="379" customWidth="1"/>
    <col min="7745" max="7745" width="12.7109375" style="379" customWidth="1"/>
    <col min="7746" max="7936" width="12.7109375" style="379"/>
    <col min="7937" max="7937" width="30.140625" style="379" customWidth="1"/>
    <col min="7938" max="7938" width="8.42578125" style="379" customWidth="1"/>
    <col min="7939" max="7939" width="15.7109375" style="379" customWidth="1"/>
    <col min="7940" max="7940" width="11.140625" style="379" customWidth="1"/>
    <col min="7941" max="7941" width="17.42578125" style="379" customWidth="1"/>
    <col min="7942" max="7942" width="15.7109375" style="379" customWidth="1"/>
    <col min="7943" max="7943" width="11.140625" style="379" customWidth="1"/>
    <col min="7944" max="7944" width="17.42578125" style="379" customWidth="1"/>
    <col min="7945" max="7945" width="15.7109375" style="379" customWidth="1"/>
    <col min="7946" max="7946" width="11.140625" style="379" customWidth="1"/>
    <col min="7947" max="7947" width="17.42578125" style="379" customWidth="1"/>
    <col min="7948" max="7948" width="15.7109375" style="379" customWidth="1"/>
    <col min="7949" max="7949" width="11.140625" style="379" customWidth="1"/>
    <col min="7950" max="7950" width="17.42578125" style="379" customWidth="1"/>
    <col min="7951" max="7951" width="15.7109375" style="379" customWidth="1"/>
    <col min="7952" max="7952" width="11.140625" style="379" customWidth="1"/>
    <col min="7953" max="7953" width="17.42578125" style="379" customWidth="1"/>
    <col min="7954" max="7954" width="15.7109375" style="379" customWidth="1"/>
    <col min="7955" max="7955" width="11.140625" style="379" customWidth="1"/>
    <col min="7956" max="7956" width="17.42578125" style="379" customWidth="1"/>
    <col min="7957" max="7957" width="15.7109375" style="379" customWidth="1"/>
    <col min="7958" max="7958" width="11.140625" style="379" customWidth="1"/>
    <col min="7959" max="7959" width="17.42578125" style="379" customWidth="1"/>
    <col min="7960" max="7960" width="15.7109375" style="379" customWidth="1"/>
    <col min="7961" max="7961" width="11.140625" style="379" customWidth="1"/>
    <col min="7962" max="7962" width="17.42578125" style="379" customWidth="1"/>
    <col min="7963" max="7963" width="15.7109375" style="379" customWidth="1"/>
    <col min="7964" max="7964" width="11.140625" style="379" customWidth="1"/>
    <col min="7965" max="7965" width="17.42578125" style="379" customWidth="1"/>
    <col min="7966" max="7966" width="15.7109375" style="379" customWidth="1"/>
    <col min="7967" max="7967" width="11.140625" style="379" customWidth="1"/>
    <col min="7968" max="7968" width="17.42578125" style="379" customWidth="1"/>
    <col min="7969" max="7969" width="15.7109375" style="379" customWidth="1"/>
    <col min="7970" max="7970" width="11.140625" style="379" customWidth="1"/>
    <col min="7971" max="7971" width="17.42578125" style="379" customWidth="1"/>
    <col min="7972" max="7972" width="15.7109375" style="379" customWidth="1"/>
    <col min="7973" max="7973" width="11.140625" style="379" customWidth="1"/>
    <col min="7974" max="7974" width="17.42578125" style="379" customWidth="1"/>
    <col min="7975" max="7975" width="15.7109375" style="379" customWidth="1"/>
    <col min="7976" max="7976" width="11.140625" style="379" customWidth="1"/>
    <col min="7977" max="7977" width="17.42578125" style="379" customWidth="1"/>
    <col min="7978" max="7978" width="15.7109375" style="379" customWidth="1"/>
    <col min="7979" max="7979" width="11.140625" style="379" customWidth="1"/>
    <col min="7980" max="7980" width="17.42578125" style="379" customWidth="1"/>
    <col min="7981" max="7981" width="15.7109375" style="379" customWidth="1"/>
    <col min="7982" max="7982" width="12.140625" style="379" bestFit="1" customWidth="1"/>
    <col min="7983" max="7983" width="17.42578125" style="379" customWidth="1"/>
    <col min="7984" max="7984" width="15.7109375" style="379" customWidth="1"/>
    <col min="7985" max="7985" width="10.28515625" style="379" customWidth="1"/>
    <col min="7986" max="7986" width="17.42578125" style="379" customWidth="1"/>
    <col min="7987" max="7987" width="15.7109375" style="379" customWidth="1"/>
    <col min="7988" max="7988" width="11.140625" style="379" customWidth="1"/>
    <col min="7989" max="7989" width="17.42578125" style="379" customWidth="1"/>
    <col min="7990" max="7990" width="15.7109375" style="379" customWidth="1"/>
    <col min="7991" max="7991" width="11.140625" style="379" customWidth="1"/>
    <col min="7992" max="7992" width="17.42578125" style="379" customWidth="1"/>
    <col min="7993" max="7993" width="15.7109375" style="379" customWidth="1"/>
    <col min="7994" max="7994" width="11.140625" style="379" customWidth="1"/>
    <col min="7995" max="7995" width="17.42578125" style="379" customWidth="1"/>
    <col min="7996" max="7996" width="15.7109375" style="379" customWidth="1"/>
    <col min="7997" max="7997" width="11.140625" style="379" customWidth="1"/>
    <col min="7998" max="7998" width="17.42578125" style="379" customWidth="1"/>
    <col min="7999" max="7999" width="13.42578125" style="379" customWidth="1"/>
    <col min="8000" max="8000" width="16.85546875" style="379" customWidth="1"/>
    <col min="8001" max="8001" width="12.7109375" style="379" customWidth="1"/>
    <col min="8002" max="8192" width="12.7109375" style="379"/>
    <col min="8193" max="8193" width="30.140625" style="379" customWidth="1"/>
    <col min="8194" max="8194" width="8.42578125" style="379" customWidth="1"/>
    <col min="8195" max="8195" width="15.7109375" style="379" customWidth="1"/>
    <col min="8196" max="8196" width="11.140625" style="379" customWidth="1"/>
    <col min="8197" max="8197" width="17.42578125" style="379" customWidth="1"/>
    <col min="8198" max="8198" width="15.7109375" style="379" customWidth="1"/>
    <col min="8199" max="8199" width="11.140625" style="379" customWidth="1"/>
    <col min="8200" max="8200" width="17.42578125" style="379" customWidth="1"/>
    <col min="8201" max="8201" width="15.7109375" style="379" customWidth="1"/>
    <col min="8202" max="8202" width="11.140625" style="379" customWidth="1"/>
    <col min="8203" max="8203" width="17.42578125" style="379" customWidth="1"/>
    <col min="8204" max="8204" width="15.7109375" style="379" customWidth="1"/>
    <col min="8205" max="8205" width="11.140625" style="379" customWidth="1"/>
    <col min="8206" max="8206" width="17.42578125" style="379" customWidth="1"/>
    <col min="8207" max="8207" width="15.7109375" style="379" customWidth="1"/>
    <col min="8208" max="8208" width="11.140625" style="379" customWidth="1"/>
    <col min="8209" max="8209" width="17.42578125" style="379" customWidth="1"/>
    <col min="8210" max="8210" width="15.7109375" style="379" customWidth="1"/>
    <col min="8211" max="8211" width="11.140625" style="379" customWidth="1"/>
    <col min="8212" max="8212" width="17.42578125" style="379" customWidth="1"/>
    <col min="8213" max="8213" width="15.7109375" style="379" customWidth="1"/>
    <col min="8214" max="8214" width="11.140625" style="379" customWidth="1"/>
    <col min="8215" max="8215" width="17.42578125" style="379" customWidth="1"/>
    <col min="8216" max="8216" width="15.7109375" style="379" customWidth="1"/>
    <col min="8217" max="8217" width="11.140625" style="379" customWidth="1"/>
    <col min="8218" max="8218" width="17.42578125" style="379" customWidth="1"/>
    <col min="8219" max="8219" width="15.7109375" style="379" customWidth="1"/>
    <col min="8220" max="8220" width="11.140625" style="379" customWidth="1"/>
    <col min="8221" max="8221" width="17.42578125" style="379" customWidth="1"/>
    <col min="8222" max="8222" width="15.7109375" style="379" customWidth="1"/>
    <col min="8223" max="8223" width="11.140625" style="379" customWidth="1"/>
    <col min="8224" max="8224" width="17.42578125" style="379" customWidth="1"/>
    <col min="8225" max="8225" width="15.7109375" style="379" customWidth="1"/>
    <col min="8226" max="8226" width="11.140625" style="379" customWidth="1"/>
    <col min="8227" max="8227" width="17.42578125" style="379" customWidth="1"/>
    <col min="8228" max="8228" width="15.7109375" style="379" customWidth="1"/>
    <col min="8229" max="8229" width="11.140625" style="379" customWidth="1"/>
    <col min="8230" max="8230" width="17.42578125" style="379" customWidth="1"/>
    <col min="8231" max="8231" width="15.7109375" style="379" customWidth="1"/>
    <col min="8232" max="8232" width="11.140625" style="379" customWidth="1"/>
    <col min="8233" max="8233" width="17.42578125" style="379" customWidth="1"/>
    <col min="8234" max="8234" width="15.7109375" style="379" customWidth="1"/>
    <col min="8235" max="8235" width="11.140625" style="379" customWidth="1"/>
    <col min="8236" max="8236" width="17.42578125" style="379" customWidth="1"/>
    <col min="8237" max="8237" width="15.7109375" style="379" customWidth="1"/>
    <col min="8238" max="8238" width="12.140625" style="379" bestFit="1" customWidth="1"/>
    <col min="8239" max="8239" width="17.42578125" style="379" customWidth="1"/>
    <col min="8240" max="8240" width="15.7109375" style="379" customWidth="1"/>
    <col min="8241" max="8241" width="10.28515625" style="379" customWidth="1"/>
    <col min="8242" max="8242" width="17.42578125" style="379" customWidth="1"/>
    <col min="8243" max="8243" width="15.7109375" style="379" customWidth="1"/>
    <col min="8244" max="8244" width="11.140625" style="379" customWidth="1"/>
    <col min="8245" max="8245" width="17.42578125" style="379" customWidth="1"/>
    <col min="8246" max="8246" width="15.7109375" style="379" customWidth="1"/>
    <col min="8247" max="8247" width="11.140625" style="379" customWidth="1"/>
    <col min="8248" max="8248" width="17.42578125" style="379" customWidth="1"/>
    <col min="8249" max="8249" width="15.7109375" style="379" customWidth="1"/>
    <col min="8250" max="8250" width="11.140625" style="379" customWidth="1"/>
    <col min="8251" max="8251" width="17.42578125" style="379" customWidth="1"/>
    <col min="8252" max="8252" width="15.7109375" style="379" customWidth="1"/>
    <col min="8253" max="8253" width="11.140625" style="379" customWidth="1"/>
    <col min="8254" max="8254" width="17.42578125" style="379" customWidth="1"/>
    <col min="8255" max="8255" width="13.42578125" style="379" customWidth="1"/>
    <col min="8256" max="8256" width="16.85546875" style="379" customWidth="1"/>
    <col min="8257" max="8257" width="12.7109375" style="379" customWidth="1"/>
    <col min="8258" max="8448" width="12.7109375" style="379"/>
    <col min="8449" max="8449" width="30.140625" style="379" customWidth="1"/>
    <col min="8450" max="8450" width="8.42578125" style="379" customWidth="1"/>
    <col min="8451" max="8451" width="15.7109375" style="379" customWidth="1"/>
    <col min="8452" max="8452" width="11.140625" style="379" customWidth="1"/>
    <col min="8453" max="8453" width="17.42578125" style="379" customWidth="1"/>
    <col min="8454" max="8454" width="15.7109375" style="379" customWidth="1"/>
    <col min="8455" max="8455" width="11.140625" style="379" customWidth="1"/>
    <col min="8456" max="8456" width="17.42578125" style="379" customWidth="1"/>
    <col min="8457" max="8457" width="15.7109375" style="379" customWidth="1"/>
    <col min="8458" max="8458" width="11.140625" style="379" customWidth="1"/>
    <col min="8459" max="8459" width="17.42578125" style="379" customWidth="1"/>
    <col min="8460" max="8460" width="15.7109375" style="379" customWidth="1"/>
    <col min="8461" max="8461" width="11.140625" style="379" customWidth="1"/>
    <col min="8462" max="8462" width="17.42578125" style="379" customWidth="1"/>
    <col min="8463" max="8463" width="15.7109375" style="379" customWidth="1"/>
    <col min="8464" max="8464" width="11.140625" style="379" customWidth="1"/>
    <col min="8465" max="8465" width="17.42578125" style="379" customWidth="1"/>
    <col min="8466" max="8466" width="15.7109375" style="379" customWidth="1"/>
    <col min="8467" max="8467" width="11.140625" style="379" customWidth="1"/>
    <col min="8468" max="8468" width="17.42578125" style="379" customWidth="1"/>
    <col min="8469" max="8469" width="15.7109375" style="379" customWidth="1"/>
    <col min="8470" max="8470" width="11.140625" style="379" customWidth="1"/>
    <col min="8471" max="8471" width="17.42578125" style="379" customWidth="1"/>
    <col min="8472" max="8472" width="15.7109375" style="379" customWidth="1"/>
    <col min="8473" max="8473" width="11.140625" style="379" customWidth="1"/>
    <col min="8474" max="8474" width="17.42578125" style="379" customWidth="1"/>
    <col min="8475" max="8475" width="15.7109375" style="379" customWidth="1"/>
    <col min="8476" max="8476" width="11.140625" style="379" customWidth="1"/>
    <col min="8477" max="8477" width="17.42578125" style="379" customWidth="1"/>
    <col min="8478" max="8478" width="15.7109375" style="379" customWidth="1"/>
    <col min="8479" max="8479" width="11.140625" style="379" customWidth="1"/>
    <col min="8480" max="8480" width="17.42578125" style="379" customWidth="1"/>
    <col min="8481" max="8481" width="15.7109375" style="379" customWidth="1"/>
    <col min="8482" max="8482" width="11.140625" style="379" customWidth="1"/>
    <col min="8483" max="8483" width="17.42578125" style="379" customWidth="1"/>
    <col min="8484" max="8484" width="15.7109375" style="379" customWidth="1"/>
    <col min="8485" max="8485" width="11.140625" style="379" customWidth="1"/>
    <col min="8486" max="8486" width="17.42578125" style="379" customWidth="1"/>
    <col min="8487" max="8487" width="15.7109375" style="379" customWidth="1"/>
    <col min="8488" max="8488" width="11.140625" style="379" customWidth="1"/>
    <col min="8489" max="8489" width="17.42578125" style="379" customWidth="1"/>
    <col min="8490" max="8490" width="15.7109375" style="379" customWidth="1"/>
    <col min="8491" max="8491" width="11.140625" style="379" customWidth="1"/>
    <col min="8492" max="8492" width="17.42578125" style="379" customWidth="1"/>
    <col min="8493" max="8493" width="15.7109375" style="379" customWidth="1"/>
    <col min="8494" max="8494" width="12.140625" style="379" bestFit="1" customWidth="1"/>
    <col min="8495" max="8495" width="17.42578125" style="379" customWidth="1"/>
    <col min="8496" max="8496" width="15.7109375" style="379" customWidth="1"/>
    <col min="8497" max="8497" width="10.28515625" style="379" customWidth="1"/>
    <col min="8498" max="8498" width="17.42578125" style="379" customWidth="1"/>
    <col min="8499" max="8499" width="15.7109375" style="379" customWidth="1"/>
    <col min="8500" max="8500" width="11.140625" style="379" customWidth="1"/>
    <col min="8501" max="8501" width="17.42578125" style="379" customWidth="1"/>
    <col min="8502" max="8502" width="15.7109375" style="379" customWidth="1"/>
    <col min="8503" max="8503" width="11.140625" style="379" customWidth="1"/>
    <col min="8504" max="8504" width="17.42578125" style="379" customWidth="1"/>
    <col min="8505" max="8505" width="15.7109375" style="379" customWidth="1"/>
    <col min="8506" max="8506" width="11.140625" style="379" customWidth="1"/>
    <col min="8507" max="8507" width="17.42578125" style="379" customWidth="1"/>
    <col min="8508" max="8508" width="15.7109375" style="379" customWidth="1"/>
    <col min="8509" max="8509" width="11.140625" style="379" customWidth="1"/>
    <col min="8510" max="8510" width="17.42578125" style="379" customWidth="1"/>
    <col min="8511" max="8511" width="13.42578125" style="379" customWidth="1"/>
    <col min="8512" max="8512" width="16.85546875" style="379" customWidth="1"/>
    <col min="8513" max="8513" width="12.7109375" style="379" customWidth="1"/>
    <col min="8514" max="8704" width="12.7109375" style="379"/>
    <col min="8705" max="8705" width="30.140625" style="379" customWidth="1"/>
    <col min="8706" max="8706" width="8.42578125" style="379" customWidth="1"/>
    <col min="8707" max="8707" width="15.7109375" style="379" customWidth="1"/>
    <col min="8708" max="8708" width="11.140625" style="379" customWidth="1"/>
    <col min="8709" max="8709" width="17.42578125" style="379" customWidth="1"/>
    <col min="8710" max="8710" width="15.7109375" style="379" customWidth="1"/>
    <col min="8711" max="8711" width="11.140625" style="379" customWidth="1"/>
    <col min="8712" max="8712" width="17.42578125" style="379" customWidth="1"/>
    <col min="8713" max="8713" width="15.7109375" style="379" customWidth="1"/>
    <col min="8714" max="8714" width="11.140625" style="379" customWidth="1"/>
    <col min="8715" max="8715" width="17.42578125" style="379" customWidth="1"/>
    <col min="8716" max="8716" width="15.7109375" style="379" customWidth="1"/>
    <col min="8717" max="8717" width="11.140625" style="379" customWidth="1"/>
    <col min="8718" max="8718" width="17.42578125" style="379" customWidth="1"/>
    <col min="8719" max="8719" width="15.7109375" style="379" customWidth="1"/>
    <col min="8720" max="8720" width="11.140625" style="379" customWidth="1"/>
    <col min="8721" max="8721" width="17.42578125" style="379" customWidth="1"/>
    <col min="8722" max="8722" width="15.7109375" style="379" customWidth="1"/>
    <col min="8723" max="8723" width="11.140625" style="379" customWidth="1"/>
    <col min="8724" max="8724" width="17.42578125" style="379" customWidth="1"/>
    <col min="8725" max="8725" width="15.7109375" style="379" customWidth="1"/>
    <col min="8726" max="8726" width="11.140625" style="379" customWidth="1"/>
    <col min="8727" max="8727" width="17.42578125" style="379" customWidth="1"/>
    <col min="8728" max="8728" width="15.7109375" style="379" customWidth="1"/>
    <col min="8729" max="8729" width="11.140625" style="379" customWidth="1"/>
    <col min="8730" max="8730" width="17.42578125" style="379" customWidth="1"/>
    <col min="8731" max="8731" width="15.7109375" style="379" customWidth="1"/>
    <col min="8732" max="8732" width="11.140625" style="379" customWidth="1"/>
    <col min="8733" max="8733" width="17.42578125" style="379" customWidth="1"/>
    <col min="8734" max="8734" width="15.7109375" style="379" customWidth="1"/>
    <col min="8735" max="8735" width="11.140625" style="379" customWidth="1"/>
    <col min="8736" max="8736" width="17.42578125" style="379" customWidth="1"/>
    <col min="8737" max="8737" width="15.7109375" style="379" customWidth="1"/>
    <col min="8738" max="8738" width="11.140625" style="379" customWidth="1"/>
    <col min="8739" max="8739" width="17.42578125" style="379" customWidth="1"/>
    <col min="8740" max="8740" width="15.7109375" style="379" customWidth="1"/>
    <col min="8741" max="8741" width="11.140625" style="379" customWidth="1"/>
    <col min="8742" max="8742" width="17.42578125" style="379" customWidth="1"/>
    <col min="8743" max="8743" width="15.7109375" style="379" customWidth="1"/>
    <col min="8744" max="8744" width="11.140625" style="379" customWidth="1"/>
    <col min="8745" max="8745" width="17.42578125" style="379" customWidth="1"/>
    <col min="8746" max="8746" width="15.7109375" style="379" customWidth="1"/>
    <col min="8747" max="8747" width="11.140625" style="379" customWidth="1"/>
    <col min="8748" max="8748" width="17.42578125" style="379" customWidth="1"/>
    <col min="8749" max="8749" width="15.7109375" style="379" customWidth="1"/>
    <col min="8750" max="8750" width="12.140625" style="379" bestFit="1" customWidth="1"/>
    <col min="8751" max="8751" width="17.42578125" style="379" customWidth="1"/>
    <col min="8752" max="8752" width="15.7109375" style="379" customWidth="1"/>
    <col min="8753" max="8753" width="10.28515625" style="379" customWidth="1"/>
    <col min="8754" max="8754" width="17.42578125" style="379" customWidth="1"/>
    <col min="8755" max="8755" width="15.7109375" style="379" customWidth="1"/>
    <col min="8756" max="8756" width="11.140625" style="379" customWidth="1"/>
    <col min="8757" max="8757" width="17.42578125" style="379" customWidth="1"/>
    <col min="8758" max="8758" width="15.7109375" style="379" customWidth="1"/>
    <col min="8759" max="8759" width="11.140625" style="379" customWidth="1"/>
    <col min="8760" max="8760" width="17.42578125" style="379" customWidth="1"/>
    <col min="8761" max="8761" width="15.7109375" style="379" customWidth="1"/>
    <col min="8762" max="8762" width="11.140625" style="379" customWidth="1"/>
    <col min="8763" max="8763" width="17.42578125" style="379" customWidth="1"/>
    <col min="8764" max="8764" width="15.7109375" style="379" customWidth="1"/>
    <col min="8765" max="8765" width="11.140625" style="379" customWidth="1"/>
    <col min="8766" max="8766" width="17.42578125" style="379" customWidth="1"/>
    <col min="8767" max="8767" width="13.42578125" style="379" customWidth="1"/>
    <col min="8768" max="8768" width="16.85546875" style="379" customWidth="1"/>
    <col min="8769" max="8769" width="12.7109375" style="379" customWidth="1"/>
    <col min="8770" max="8960" width="12.7109375" style="379"/>
    <col min="8961" max="8961" width="30.140625" style="379" customWidth="1"/>
    <col min="8962" max="8962" width="8.42578125" style="379" customWidth="1"/>
    <col min="8963" max="8963" width="15.7109375" style="379" customWidth="1"/>
    <col min="8964" max="8964" width="11.140625" style="379" customWidth="1"/>
    <col min="8965" max="8965" width="17.42578125" style="379" customWidth="1"/>
    <col min="8966" max="8966" width="15.7109375" style="379" customWidth="1"/>
    <col min="8967" max="8967" width="11.140625" style="379" customWidth="1"/>
    <col min="8968" max="8968" width="17.42578125" style="379" customWidth="1"/>
    <col min="8969" max="8969" width="15.7109375" style="379" customWidth="1"/>
    <col min="8970" max="8970" width="11.140625" style="379" customWidth="1"/>
    <col min="8971" max="8971" width="17.42578125" style="379" customWidth="1"/>
    <col min="8972" max="8972" width="15.7109375" style="379" customWidth="1"/>
    <col min="8973" max="8973" width="11.140625" style="379" customWidth="1"/>
    <col min="8974" max="8974" width="17.42578125" style="379" customWidth="1"/>
    <col min="8975" max="8975" width="15.7109375" style="379" customWidth="1"/>
    <col min="8976" max="8976" width="11.140625" style="379" customWidth="1"/>
    <col min="8977" max="8977" width="17.42578125" style="379" customWidth="1"/>
    <col min="8978" max="8978" width="15.7109375" style="379" customWidth="1"/>
    <col min="8979" max="8979" width="11.140625" style="379" customWidth="1"/>
    <col min="8980" max="8980" width="17.42578125" style="379" customWidth="1"/>
    <col min="8981" max="8981" width="15.7109375" style="379" customWidth="1"/>
    <col min="8982" max="8982" width="11.140625" style="379" customWidth="1"/>
    <col min="8983" max="8983" width="17.42578125" style="379" customWidth="1"/>
    <col min="8984" max="8984" width="15.7109375" style="379" customWidth="1"/>
    <col min="8985" max="8985" width="11.140625" style="379" customWidth="1"/>
    <col min="8986" max="8986" width="17.42578125" style="379" customWidth="1"/>
    <col min="8987" max="8987" width="15.7109375" style="379" customWidth="1"/>
    <col min="8988" max="8988" width="11.140625" style="379" customWidth="1"/>
    <col min="8989" max="8989" width="17.42578125" style="379" customWidth="1"/>
    <col min="8990" max="8990" width="15.7109375" style="379" customWidth="1"/>
    <col min="8991" max="8991" width="11.140625" style="379" customWidth="1"/>
    <col min="8992" max="8992" width="17.42578125" style="379" customWidth="1"/>
    <col min="8993" max="8993" width="15.7109375" style="379" customWidth="1"/>
    <col min="8994" max="8994" width="11.140625" style="379" customWidth="1"/>
    <col min="8995" max="8995" width="17.42578125" style="379" customWidth="1"/>
    <col min="8996" max="8996" width="15.7109375" style="379" customWidth="1"/>
    <col min="8997" max="8997" width="11.140625" style="379" customWidth="1"/>
    <col min="8998" max="8998" width="17.42578125" style="379" customWidth="1"/>
    <col min="8999" max="8999" width="15.7109375" style="379" customWidth="1"/>
    <col min="9000" max="9000" width="11.140625" style="379" customWidth="1"/>
    <col min="9001" max="9001" width="17.42578125" style="379" customWidth="1"/>
    <col min="9002" max="9002" width="15.7109375" style="379" customWidth="1"/>
    <col min="9003" max="9003" width="11.140625" style="379" customWidth="1"/>
    <col min="9004" max="9004" width="17.42578125" style="379" customWidth="1"/>
    <col min="9005" max="9005" width="15.7109375" style="379" customWidth="1"/>
    <col min="9006" max="9006" width="12.140625" style="379" bestFit="1" customWidth="1"/>
    <col min="9007" max="9007" width="17.42578125" style="379" customWidth="1"/>
    <col min="9008" max="9008" width="15.7109375" style="379" customWidth="1"/>
    <col min="9009" max="9009" width="10.28515625" style="379" customWidth="1"/>
    <col min="9010" max="9010" width="17.42578125" style="379" customWidth="1"/>
    <col min="9011" max="9011" width="15.7109375" style="379" customWidth="1"/>
    <col min="9012" max="9012" width="11.140625" style="379" customWidth="1"/>
    <col min="9013" max="9013" width="17.42578125" style="379" customWidth="1"/>
    <col min="9014" max="9014" width="15.7109375" style="379" customWidth="1"/>
    <col min="9015" max="9015" width="11.140625" style="379" customWidth="1"/>
    <col min="9016" max="9016" width="17.42578125" style="379" customWidth="1"/>
    <col min="9017" max="9017" width="15.7109375" style="379" customWidth="1"/>
    <col min="9018" max="9018" width="11.140625" style="379" customWidth="1"/>
    <col min="9019" max="9019" width="17.42578125" style="379" customWidth="1"/>
    <col min="9020" max="9020" width="15.7109375" style="379" customWidth="1"/>
    <col min="9021" max="9021" width="11.140625" style="379" customWidth="1"/>
    <col min="9022" max="9022" width="17.42578125" style="379" customWidth="1"/>
    <col min="9023" max="9023" width="13.42578125" style="379" customWidth="1"/>
    <col min="9024" max="9024" width="16.85546875" style="379" customWidth="1"/>
    <col min="9025" max="9025" width="12.7109375" style="379" customWidth="1"/>
    <col min="9026" max="9216" width="12.7109375" style="379"/>
    <col min="9217" max="9217" width="30.140625" style="379" customWidth="1"/>
    <col min="9218" max="9218" width="8.42578125" style="379" customWidth="1"/>
    <col min="9219" max="9219" width="15.7109375" style="379" customWidth="1"/>
    <col min="9220" max="9220" width="11.140625" style="379" customWidth="1"/>
    <col min="9221" max="9221" width="17.42578125" style="379" customWidth="1"/>
    <col min="9222" max="9222" width="15.7109375" style="379" customWidth="1"/>
    <col min="9223" max="9223" width="11.140625" style="379" customWidth="1"/>
    <col min="9224" max="9224" width="17.42578125" style="379" customWidth="1"/>
    <col min="9225" max="9225" width="15.7109375" style="379" customWidth="1"/>
    <col min="9226" max="9226" width="11.140625" style="379" customWidth="1"/>
    <col min="9227" max="9227" width="17.42578125" style="379" customWidth="1"/>
    <col min="9228" max="9228" width="15.7109375" style="379" customWidth="1"/>
    <col min="9229" max="9229" width="11.140625" style="379" customWidth="1"/>
    <col min="9230" max="9230" width="17.42578125" style="379" customWidth="1"/>
    <col min="9231" max="9231" width="15.7109375" style="379" customWidth="1"/>
    <col min="9232" max="9232" width="11.140625" style="379" customWidth="1"/>
    <col min="9233" max="9233" width="17.42578125" style="379" customWidth="1"/>
    <col min="9234" max="9234" width="15.7109375" style="379" customWidth="1"/>
    <col min="9235" max="9235" width="11.140625" style="379" customWidth="1"/>
    <col min="9236" max="9236" width="17.42578125" style="379" customWidth="1"/>
    <col min="9237" max="9237" width="15.7109375" style="379" customWidth="1"/>
    <col min="9238" max="9238" width="11.140625" style="379" customWidth="1"/>
    <col min="9239" max="9239" width="17.42578125" style="379" customWidth="1"/>
    <col min="9240" max="9240" width="15.7109375" style="379" customWidth="1"/>
    <col min="9241" max="9241" width="11.140625" style="379" customWidth="1"/>
    <col min="9242" max="9242" width="17.42578125" style="379" customWidth="1"/>
    <col min="9243" max="9243" width="15.7109375" style="379" customWidth="1"/>
    <col min="9244" max="9244" width="11.140625" style="379" customWidth="1"/>
    <col min="9245" max="9245" width="17.42578125" style="379" customWidth="1"/>
    <col min="9246" max="9246" width="15.7109375" style="379" customWidth="1"/>
    <col min="9247" max="9247" width="11.140625" style="379" customWidth="1"/>
    <col min="9248" max="9248" width="17.42578125" style="379" customWidth="1"/>
    <col min="9249" max="9249" width="15.7109375" style="379" customWidth="1"/>
    <col min="9250" max="9250" width="11.140625" style="379" customWidth="1"/>
    <col min="9251" max="9251" width="17.42578125" style="379" customWidth="1"/>
    <col min="9252" max="9252" width="15.7109375" style="379" customWidth="1"/>
    <col min="9253" max="9253" width="11.140625" style="379" customWidth="1"/>
    <col min="9254" max="9254" width="17.42578125" style="379" customWidth="1"/>
    <col min="9255" max="9255" width="15.7109375" style="379" customWidth="1"/>
    <col min="9256" max="9256" width="11.140625" style="379" customWidth="1"/>
    <col min="9257" max="9257" width="17.42578125" style="379" customWidth="1"/>
    <col min="9258" max="9258" width="15.7109375" style="379" customWidth="1"/>
    <col min="9259" max="9259" width="11.140625" style="379" customWidth="1"/>
    <col min="9260" max="9260" width="17.42578125" style="379" customWidth="1"/>
    <col min="9261" max="9261" width="15.7109375" style="379" customWidth="1"/>
    <col min="9262" max="9262" width="12.140625" style="379" bestFit="1" customWidth="1"/>
    <col min="9263" max="9263" width="17.42578125" style="379" customWidth="1"/>
    <col min="9264" max="9264" width="15.7109375" style="379" customWidth="1"/>
    <col min="9265" max="9265" width="10.28515625" style="379" customWidth="1"/>
    <col min="9266" max="9266" width="17.42578125" style="379" customWidth="1"/>
    <col min="9267" max="9267" width="15.7109375" style="379" customWidth="1"/>
    <col min="9268" max="9268" width="11.140625" style="379" customWidth="1"/>
    <col min="9269" max="9269" width="17.42578125" style="379" customWidth="1"/>
    <col min="9270" max="9270" width="15.7109375" style="379" customWidth="1"/>
    <col min="9271" max="9271" width="11.140625" style="379" customWidth="1"/>
    <col min="9272" max="9272" width="17.42578125" style="379" customWidth="1"/>
    <col min="9273" max="9273" width="15.7109375" style="379" customWidth="1"/>
    <col min="9274" max="9274" width="11.140625" style="379" customWidth="1"/>
    <col min="9275" max="9275" width="17.42578125" style="379" customWidth="1"/>
    <col min="9276" max="9276" width="15.7109375" style="379" customWidth="1"/>
    <col min="9277" max="9277" width="11.140625" style="379" customWidth="1"/>
    <col min="9278" max="9278" width="17.42578125" style="379" customWidth="1"/>
    <col min="9279" max="9279" width="13.42578125" style="379" customWidth="1"/>
    <col min="9280" max="9280" width="16.85546875" style="379" customWidth="1"/>
    <col min="9281" max="9281" width="12.7109375" style="379" customWidth="1"/>
    <col min="9282" max="9472" width="12.7109375" style="379"/>
    <col min="9473" max="9473" width="30.140625" style="379" customWidth="1"/>
    <col min="9474" max="9474" width="8.42578125" style="379" customWidth="1"/>
    <col min="9475" max="9475" width="15.7109375" style="379" customWidth="1"/>
    <col min="9476" max="9476" width="11.140625" style="379" customWidth="1"/>
    <col min="9477" max="9477" width="17.42578125" style="379" customWidth="1"/>
    <col min="9478" max="9478" width="15.7109375" style="379" customWidth="1"/>
    <col min="9479" max="9479" width="11.140625" style="379" customWidth="1"/>
    <col min="9480" max="9480" width="17.42578125" style="379" customWidth="1"/>
    <col min="9481" max="9481" width="15.7109375" style="379" customWidth="1"/>
    <col min="9482" max="9482" width="11.140625" style="379" customWidth="1"/>
    <col min="9483" max="9483" width="17.42578125" style="379" customWidth="1"/>
    <col min="9484" max="9484" width="15.7109375" style="379" customWidth="1"/>
    <col min="9485" max="9485" width="11.140625" style="379" customWidth="1"/>
    <col min="9486" max="9486" width="17.42578125" style="379" customWidth="1"/>
    <col min="9487" max="9487" width="15.7109375" style="379" customWidth="1"/>
    <col min="9488" max="9488" width="11.140625" style="379" customWidth="1"/>
    <col min="9489" max="9489" width="17.42578125" style="379" customWidth="1"/>
    <col min="9490" max="9490" width="15.7109375" style="379" customWidth="1"/>
    <col min="9491" max="9491" width="11.140625" style="379" customWidth="1"/>
    <col min="9492" max="9492" width="17.42578125" style="379" customWidth="1"/>
    <col min="9493" max="9493" width="15.7109375" style="379" customWidth="1"/>
    <col min="9494" max="9494" width="11.140625" style="379" customWidth="1"/>
    <col min="9495" max="9495" width="17.42578125" style="379" customWidth="1"/>
    <col min="9496" max="9496" width="15.7109375" style="379" customWidth="1"/>
    <col min="9497" max="9497" width="11.140625" style="379" customWidth="1"/>
    <col min="9498" max="9498" width="17.42578125" style="379" customWidth="1"/>
    <col min="9499" max="9499" width="15.7109375" style="379" customWidth="1"/>
    <col min="9500" max="9500" width="11.140625" style="379" customWidth="1"/>
    <col min="9501" max="9501" width="17.42578125" style="379" customWidth="1"/>
    <col min="9502" max="9502" width="15.7109375" style="379" customWidth="1"/>
    <col min="9503" max="9503" width="11.140625" style="379" customWidth="1"/>
    <col min="9504" max="9504" width="17.42578125" style="379" customWidth="1"/>
    <col min="9505" max="9505" width="15.7109375" style="379" customWidth="1"/>
    <col min="9506" max="9506" width="11.140625" style="379" customWidth="1"/>
    <col min="9507" max="9507" width="17.42578125" style="379" customWidth="1"/>
    <col min="9508" max="9508" width="15.7109375" style="379" customWidth="1"/>
    <col min="9509" max="9509" width="11.140625" style="379" customWidth="1"/>
    <col min="9510" max="9510" width="17.42578125" style="379" customWidth="1"/>
    <col min="9511" max="9511" width="15.7109375" style="379" customWidth="1"/>
    <col min="9512" max="9512" width="11.140625" style="379" customWidth="1"/>
    <col min="9513" max="9513" width="17.42578125" style="379" customWidth="1"/>
    <col min="9514" max="9514" width="15.7109375" style="379" customWidth="1"/>
    <col min="9515" max="9515" width="11.140625" style="379" customWidth="1"/>
    <col min="9516" max="9516" width="17.42578125" style="379" customWidth="1"/>
    <col min="9517" max="9517" width="15.7109375" style="379" customWidth="1"/>
    <col min="9518" max="9518" width="12.140625" style="379" bestFit="1" customWidth="1"/>
    <col min="9519" max="9519" width="17.42578125" style="379" customWidth="1"/>
    <col min="9520" max="9520" width="15.7109375" style="379" customWidth="1"/>
    <col min="9521" max="9521" width="10.28515625" style="379" customWidth="1"/>
    <col min="9522" max="9522" width="17.42578125" style="379" customWidth="1"/>
    <col min="9523" max="9523" width="15.7109375" style="379" customWidth="1"/>
    <col min="9524" max="9524" width="11.140625" style="379" customWidth="1"/>
    <col min="9525" max="9525" width="17.42578125" style="379" customWidth="1"/>
    <col min="9526" max="9526" width="15.7109375" style="379" customWidth="1"/>
    <col min="9527" max="9527" width="11.140625" style="379" customWidth="1"/>
    <col min="9528" max="9528" width="17.42578125" style="379" customWidth="1"/>
    <col min="9529" max="9529" width="15.7109375" style="379" customWidth="1"/>
    <col min="9530" max="9530" width="11.140625" style="379" customWidth="1"/>
    <col min="9531" max="9531" width="17.42578125" style="379" customWidth="1"/>
    <col min="9532" max="9532" width="15.7109375" style="379" customWidth="1"/>
    <col min="9533" max="9533" width="11.140625" style="379" customWidth="1"/>
    <col min="9534" max="9534" width="17.42578125" style="379" customWidth="1"/>
    <col min="9535" max="9535" width="13.42578125" style="379" customWidth="1"/>
    <col min="9536" max="9536" width="16.85546875" style="379" customWidth="1"/>
    <col min="9537" max="9537" width="12.7109375" style="379" customWidth="1"/>
    <col min="9538" max="9728" width="12.7109375" style="379"/>
    <col min="9729" max="9729" width="30.140625" style="379" customWidth="1"/>
    <col min="9730" max="9730" width="8.42578125" style="379" customWidth="1"/>
    <col min="9731" max="9731" width="15.7109375" style="379" customWidth="1"/>
    <col min="9732" max="9732" width="11.140625" style="379" customWidth="1"/>
    <col min="9733" max="9733" width="17.42578125" style="379" customWidth="1"/>
    <col min="9734" max="9734" width="15.7109375" style="379" customWidth="1"/>
    <col min="9735" max="9735" width="11.140625" style="379" customWidth="1"/>
    <col min="9736" max="9736" width="17.42578125" style="379" customWidth="1"/>
    <col min="9737" max="9737" width="15.7109375" style="379" customWidth="1"/>
    <col min="9738" max="9738" width="11.140625" style="379" customWidth="1"/>
    <col min="9739" max="9739" width="17.42578125" style="379" customWidth="1"/>
    <col min="9740" max="9740" width="15.7109375" style="379" customWidth="1"/>
    <col min="9741" max="9741" width="11.140625" style="379" customWidth="1"/>
    <col min="9742" max="9742" width="17.42578125" style="379" customWidth="1"/>
    <col min="9743" max="9743" width="15.7109375" style="379" customWidth="1"/>
    <col min="9744" max="9744" width="11.140625" style="379" customWidth="1"/>
    <col min="9745" max="9745" width="17.42578125" style="379" customWidth="1"/>
    <col min="9746" max="9746" width="15.7109375" style="379" customWidth="1"/>
    <col min="9747" max="9747" width="11.140625" style="379" customWidth="1"/>
    <col min="9748" max="9748" width="17.42578125" style="379" customWidth="1"/>
    <col min="9749" max="9749" width="15.7109375" style="379" customWidth="1"/>
    <col min="9750" max="9750" width="11.140625" style="379" customWidth="1"/>
    <col min="9751" max="9751" width="17.42578125" style="379" customWidth="1"/>
    <col min="9752" max="9752" width="15.7109375" style="379" customWidth="1"/>
    <col min="9753" max="9753" width="11.140625" style="379" customWidth="1"/>
    <col min="9754" max="9754" width="17.42578125" style="379" customWidth="1"/>
    <col min="9755" max="9755" width="15.7109375" style="379" customWidth="1"/>
    <col min="9756" max="9756" width="11.140625" style="379" customWidth="1"/>
    <col min="9757" max="9757" width="17.42578125" style="379" customWidth="1"/>
    <col min="9758" max="9758" width="15.7109375" style="379" customWidth="1"/>
    <col min="9759" max="9759" width="11.140625" style="379" customWidth="1"/>
    <col min="9760" max="9760" width="17.42578125" style="379" customWidth="1"/>
    <col min="9761" max="9761" width="15.7109375" style="379" customWidth="1"/>
    <col min="9762" max="9762" width="11.140625" style="379" customWidth="1"/>
    <col min="9763" max="9763" width="17.42578125" style="379" customWidth="1"/>
    <col min="9764" max="9764" width="15.7109375" style="379" customWidth="1"/>
    <col min="9765" max="9765" width="11.140625" style="379" customWidth="1"/>
    <col min="9766" max="9766" width="17.42578125" style="379" customWidth="1"/>
    <col min="9767" max="9767" width="15.7109375" style="379" customWidth="1"/>
    <col min="9768" max="9768" width="11.140625" style="379" customWidth="1"/>
    <col min="9769" max="9769" width="17.42578125" style="379" customWidth="1"/>
    <col min="9770" max="9770" width="15.7109375" style="379" customWidth="1"/>
    <col min="9771" max="9771" width="11.140625" style="379" customWidth="1"/>
    <col min="9772" max="9772" width="17.42578125" style="379" customWidth="1"/>
    <col min="9773" max="9773" width="15.7109375" style="379" customWidth="1"/>
    <col min="9774" max="9774" width="12.140625" style="379" bestFit="1" customWidth="1"/>
    <col min="9775" max="9775" width="17.42578125" style="379" customWidth="1"/>
    <col min="9776" max="9776" width="15.7109375" style="379" customWidth="1"/>
    <col min="9777" max="9777" width="10.28515625" style="379" customWidth="1"/>
    <col min="9778" max="9778" width="17.42578125" style="379" customWidth="1"/>
    <col min="9779" max="9779" width="15.7109375" style="379" customWidth="1"/>
    <col min="9780" max="9780" width="11.140625" style="379" customWidth="1"/>
    <col min="9781" max="9781" width="17.42578125" style="379" customWidth="1"/>
    <col min="9782" max="9782" width="15.7109375" style="379" customWidth="1"/>
    <col min="9783" max="9783" width="11.140625" style="379" customWidth="1"/>
    <col min="9784" max="9784" width="17.42578125" style="379" customWidth="1"/>
    <col min="9785" max="9785" width="15.7109375" style="379" customWidth="1"/>
    <col min="9786" max="9786" width="11.140625" style="379" customWidth="1"/>
    <col min="9787" max="9787" width="17.42578125" style="379" customWidth="1"/>
    <col min="9788" max="9788" width="15.7109375" style="379" customWidth="1"/>
    <col min="9789" max="9789" width="11.140625" style="379" customWidth="1"/>
    <col min="9790" max="9790" width="17.42578125" style="379" customWidth="1"/>
    <col min="9791" max="9791" width="13.42578125" style="379" customWidth="1"/>
    <col min="9792" max="9792" width="16.85546875" style="379" customWidth="1"/>
    <col min="9793" max="9793" width="12.7109375" style="379" customWidth="1"/>
    <col min="9794" max="9984" width="12.7109375" style="379"/>
    <col min="9985" max="9985" width="30.140625" style="379" customWidth="1"/>
    <col min="9986" max="9986" width="8.42578125" style="379" customWidth="1"/>
    <col min="9987" max="9987" width="15.7109375" style="379" customWidth="1"/>
    <col min="9988" max="9988" width="11.140625" style="379" customWidth="1"/>
    <col min="9989" max="9989" width="17.42578125" style="379" customWidth="1"/>
    <col min="9990" max="9990" width="15.7109375" style="379" customWidth="1"/>
    <col min="9991" max="9991" width="11.140625" style="379" customWidth="1"/>
    <col min="9992" max="9992" width="17.42578125" style="379" customWidth="1"/>
    <col min="9993" max="9993" width="15.7109375" style="379" customWidth="1"/>
    <col min="9994" max="9994" width="11.140625" style="379" customWidth="1"/>
    <col min="9995" max="9995" width="17.42578125" style="379" customWidth="1"/>
    <col min="9996" max="9996" width="15.7109375" style="379" customWidth="1"/>
    <col min="9997" max="9997" width="11.140625" style="379" customWidth="1"/>
    <col min="9998" max="9998" width="17.42578125" style="379" customWidth="1"/>
    <col min="9999" max="9999" width="15.7109375" style="379" customWidth="1"/>
    <col min="10000" max="10000" width="11.140625" style="379" customWidth="1"/>
    <col min="10001" max="10001" width="17.42578125" style="379" customWidth="1"/>
    <col min="10002" max="10002" width="15.7109375" style="379" customWidth="1"/>
    <col min="10003" max="10003" width="11.140625" style="379" customWidth="1"/>
    <col min="10004" max="10004" width="17.42578125" style="379" customWidth="1"/>
    <col min="10005" max="10005" width="15.7109375" style="379" customWidth="1"/>
    <col min="10006" max="10006" width="11.140625" style="379" customWidth="1"/>
    <col min="10007" max="10007" width="17.42578125" style="379" customWidth="1"/>
    <col min="10008" max="10008" width="15.7109375" style="379" customWidth="1"/>
    <col min="10009" max="10009" width="11.140625" style="379" customWidth="1"/>
    <col min="10010" max="10010" width="17.42578125" style="379" customWidth="1"/>
    <col min="10011" max="10011" width="15.7109375" style="379" customWidth="1"/>
    <col min="10012" max="10012" width="11.140625" style="379" customWidth="1"/>
    <col min="10013" max="10013" width="17.42578125" style="379" customWidth="1"/>
    <col min="10014" max="10014" width="15.7109375" style="379" customWidth="1"/>
    <col min="10015" max="10015" width="11.140625" style="379" customWidth="1"/>
    <col min="10016" max="10016" width="17.42578125" style="379" customWidth="1"/>
    <col min="10017" max="10017" width="15.7109375" style="379" customWidth="1"/>
    <col min="10018" max="10018" width="11.140625" style="379" customWidth="1"/>
    <col min="10019" max="10019" width="17.42578125" style="379" customWidth="1"/>
    <col min="10020" max="10020" width="15.7109375" style="379" customWidth="1"/>
    <col min="10021" max="10021" width="11.140625" style="379" customWidth="1"/>
    <col min="10022" max="10022" width="17.42578125" style="379" customWidth="1"/>
    <col min="10023" max="10023" width="15.7109375" style="379" customWidth="1"/>
    <col min="10024" max="10024" width="11.140625" style="379" customWidth="1"/>
    <col min="10025" max="10025" width="17.42578125" style="379" customWidth="1"/>
    <col min="10026" max="10026" width="15.7109375" style="379" customWidth="1"/>
    <col min="10027" max="10027" width="11.140625" style="379" customWidth="1"/>
    <col min="10028" max="10028" width="17.42578125" style="379" customWidth="1"/>
    <col min="10029" max="10029" width="15.7109375" style="379" customWidth="1"/>
    <col min="10030" max="10030" width="12.140625" style="379" bestFit="1" customWidth="1"/>
    <col min="10031" max="10031" width="17.42578125" style="379" customWidth="1"/>
    <col min="10032" max="10032" width="15.7109375" style="379" customWidth="1"/>
    <col min="10033" max="10033" width="10.28515625" style="379" customWidth="1"/>
    <col min="10034" max="10034" width="17.42578125" style="379" customWidth="1"/>
    <col min="10035" max="10035" width="15.7109375" style="379" customWidth="1"/>
    <col min="10036" max="10036" width="11.140625" style="379" customWidth="1"/>
    <col min="10037" max="10037" width="17.42578125" style="379" customWidth="1"/>
    <col min="10038" max="10038" width="15.7109375" style="379" customWidth="1"/>
    <col min="10039" max="10039" width="11.140625" style="379" customWidth="1"/>
    <col min="10040" max="10040" width="17.42578125" style="379" customWidth="1"/>
    <col min="10041" max="10041" width="15.7109375" style="379" customWidth="1"/>
    <col min="10042" max="10042" width="11.140625" style="379" customWidth="1"/>
    <col min="10043" max="10043" width="17.42578125" style="379" customWidth="1"/>
    <col min="10044" max="10044" width="15.7109375" style="379" customWidth="1"/>
    <col min="10045" max="10045" width="11.140625" style="379" customWidth="1"/>
    <col min="10046" max="10046" width="17.42578125" style="379" customWidth="1"/>
    <col min="10047" max="10047" width="13.42578125" style="379" customWidth="1"/>
    <col min="10048" max="10048" width="16.85546875" style="379" customWidth="1"/>
    <col min="10049" max="10049" width="12.7109375" style="379" customWidth="1"/>
    <col min="10050" max="10240" width="12.7109375" style="379"/>
    <col min="10241" max="10241" width="30.140625" style="379" customWidth="1"/>
    <col min="10242" max="10242" width="8.42578125" style="379" customWidth="1"/>
    <col min="10243" max="10243" width="15.7109375" style="379" customWidth="1"/>
    <col min="10244" max="10244" width="11.140625" style="379" customWidth="1"/>
    <col min="10245" max="10245" width="17.42578125" style="379" customWidth="1"/>
    <col min="10246" max="10246" width="15.7109375" style="379" customWidth="1"/>
    <col min="10247" max="10247" width="11.140625" style="379" customWidth="1"/>
    <col min="10248" max="10248" width="17.42578125" style="379" customWidth="1"/>
    <col min="10249" max="10249" width="15.7109375" style="379" customWidth="1"/>
    <col min="10250" max="10250" width="11.140625" style="379" customWidth="1"/>
    <col min="10251" max="10251" width="17.42578125" style="379" customWidth="1"/>
    <col min="10252" max="10252" width="15.7109375" style="379" customWidth="1"/>
    <col min="10253" max="10253" width="11.140625" style="379" customWidth="1"/>
    <col min="10254" max="10254" width="17.42578125" style="379" customWidth="1"/>
    <col min="10255" max="10255" width="15.7109375" style="379" customWidth="1"/>
    <col min="10256" max="10256" width="11.140625" style="379" customWidth="1"/>
    <col min="10257" max="10257" width="17.42578125" style="379" customWidth="1"/>
    <col min="10258" max="10258" width="15.7109375" style="379" customWidth="1"/>
    <col min="10259" max="10259" width="11.140625" style="379" customWidth="1"/>
    <col min="10260" max="10260" width="17.42578125" style="379" customWidth="1"/>
    <col min="10261" max="10261" width="15.7109375" style="379" customWidth="1"/>
    <col min="10262" max="10262" width="11.140625" style="379" customWidth="1"/>
    <col min="10263" max="10263" width="17.42578125" style="379" customWidth="1"/>
    <col min="10264" max="10264" width="15.7109375" style="379" customWidth="1"/>
    <col min="10265" max="10265" width="11.140625" style="379" customWidth="1"/>
    <col min="10266" max="10266" width="17.42578125" style="379" customWidth="1"/>
    <col min="10267" max="10267" width="15.7109375" style="379" customWidth="1"/>
    <col min="10268" max="10268" width="11.140625" style="379" customWidth="1"/>
    <col min="10269" max="10269" width="17.42578125" style="379" customWidth="1"/>
    <col min="10270" max="10270" width="15.7109375" style="379" customWidth="1"/>
    <col min="10271" max="10271" width="11.140625" style="379" customWidth="1"/>
    <col min="10272" max="10272" width="17.42578125" style="379" customWidth="1"/>
    <col min="10273" max="10273" width="15.7109375" style="379" customWidth="1"/>
    <col min="10274" max="10274" width="11.140625" style="379" customWidth="1"/>
    <col min="10275" max="10275" width="17.42578125" style="379" customWidth="1"/>
    <col min="10276" max="10276" width="15.7109375" style="379" customWidth="1"/>
    <col min="10277" max="10277" width="11.140625" style="379" customWidth="1"/>
    <col min="10278" max="10278" width="17.42578125" style="379" customWidth="1"/>
    <col min="10279" max="10279" width="15.7109375" style="379" customWidth="1"/>
    <col min="10280" max="10280" width="11.140625" style="379" customWidth="1"/>
    <col min="10281" max="10281" width="17.42578125" style="379" customWidth="1"/>
    <col min="10282" max="10282" width="15.7109375" style="379" customWidth="1"/>
    <col min="10283" max="10283" width="11.140625" style="379" customWidth="1"/>
    <col min="10284" max="10284" width="17.42578125" style="379" customWidth="1"/>
    <col min="10285" max="10285" width="15.7109375" style="379" customWidth="1"/>
    <col min="10286" max="10286" width="12.140625" style="379" bestFit="1" customWidth="1"/>
    <col min="10287" max="10287" width="17.42578125" style="379" customWidth="1"/>
    <col min="10288" max="10288" width="15.7109375" style="379" customWidth="1"/>
    <col min="10289" max="10289" width="10.28515625" style="379" customWidth="1"/>
    <col min="10290" max="10290" width="17.42578125" style="379" customWidth="1"/>
    <col min="10291" max="10291" width="15.7109375" style="379" customWidth="1"/>
    <col min="10292" max="10292" width="11.140625" style="379" customWidth="1"/>
    <col min="10293" max="10293" width="17.42578125" style="379" customWidth="1"/>
    <col min="10294" max="10294" width="15.7109375" style="379" customWidth="1"/>
    <col min="10295" max="10295" width="11.140625" style="379" customWidth="1"/>
    <col min="10296" max="10296" width="17.42578125" style="379" customWidth="1"/>
    <col min="10297" max="10297" width="15.7109375" style="379" customWidth="1"/>
    <col min="10298" max="10298" width="11.140625" style="379" customWidth="1"/>
    <col min="10299" max="10299" width="17.42578125" style="379" customWidth="1"/>
    <col min="10300" max="10300" width="15.7109375" style="379" customWidth="1"/>
    <col min="10301" max="10301" width="11.140625" style="379" customWidth="1"/>
    <col min="10302" max="10302" width="17.42578125" style="379" customWidth="1"/>
    <col min="10303" max="10303" width="13.42578125" style="379" customWidth="1"/>
    <col min="10304" max="10304" width="16.85546875" style="379" customWidth="1"/>
    <col min="10305" max="10305" width="12.7109375" style="379" customWidth="1"/>
    <col min="10306" max="10496" width="12.7109375" style="379"/>
    <col min="10497" max="10497" width="30.140625" style="379" customWidth="1"/>
    <col min="10498" max="10498" width="8.42578125" style="379" customWidth="1"/>
    <col min="10499" max="10499" width="15.7109375" style="379" customWidth="1"/>
    <col min="10500" max="10500" width="11.140625" style="379" customWidth="1"/>
    <col min="10501" max="10501" width="17.42578125" style="379" customWidth="1"/>
    <col min="10502" max="10502" width="15.7109375" style="379" customWidth="1"/>
    <col min="10503" max="10503" width="11.140625" style="379" customWidth="1"/>
    <col min="10504" max="10504" width="17.42578125" style="379" customWidth="1"/>
    <col min="10505" max="10505" width="15.7109375" style="379" customWidth="1"/>
    <col min="10506" max="10506" width="11.140625" style="379" customWidth="1"/>
    <col min="10507" max="10507" width="17.42578125" style="379" customWidth="1"/>
    <col min="10508" max="10508" width="15.7109375" style="379" customWidth="1"/>
    <col min="10509" max="10509" width="11.140625" style="379" customWidth="1"/>
    <col min="10510" max="10510" width="17.42578125" style="379" customWidth="1"/>
    <col min="10511" max="10511" width="15.7109375" style="379" customWidth="1"/>
    <col min="10512" max="10512" width="11.140625" style="379" customWidth="1"/>
    <col min="10513" max="10513" width="17.42578125" style="379" customWidth="1"/>
    <col min="10514" max="10514" width="15.7109375" style="379" customWidth="1"/>
    <col min="10515" max="10515" width="11.140625" style="379" customWidth="1"/>
    <col min="10516" max="10516" width="17.42578125" style="379" customWidth="1"/>
    <col min="10517" max="10517" width="15.7109375" style="379" customWidth="1"/>
    <col min="10518" max="10518" width="11.140625" style="379" customWidth="1"/>
    <col min="10519" max="10519" width="17.42578125" style="379" customWidth="1"/>
    <col min="10520" max="10520" width="15.7109375" style="379" customWidth="1"/>
    <col min="10521" max="10521" width="11.140625" style="379" customWidth="1"/>
    <col min="10522" max="10522" width="17.42578125" style="379" customWidth="1"/>
    <col min="10523" max="10523" width="15.7109375" style="379" customWidth="1"/>
    <col min="10524" max="10524" width="11.140625" style="379" customWidth="1"/>
    <col min="10525" max="10525" width="17.42578125" style="379" customWidth="1"/>
    <col min="10526" max="10526" width="15.7109375" style="379" customWidth="1"/>
    <col min="10527" max="10527" width="11.140625" style="379" customWidth="1"/>
    <col min="10528" max="10528" width="17.42578125" style="379" customWidth="1"/>
    <col min="10529" max="10529" width="15.7109375" style="379" customWidth="1"/>
    <col min="10530" max="10530" width="11.140625" style="379" customWidth="1"/>
    <col min="10531" max="10531" width="17.42578125" style="379" customWidth="1"/>
    <col min="10532" max="10532" width="15.7109375" style="379" customWidth="1"/>
    <col min="10533" max="10533" width="11.140625" style="379" customWidth="1"/>
    <col min="10534" max="10534" width="17.42578125" style="379" customWidth="1"/>
    <col min="10535" max="10535" width="15.7109375" style="379" customWidth="1"/>
    <col min="10536" max="10536" width="11.140625" style="379" customWidth="1"/>
    <col min="10537" max="10537" width="17.42578125" style="379" customWidth="1"/>
    <col min="10538" max="10538" width="15.7109375" style="379" customWidth="1"/>
    <col min="10539" max="10539" width="11.140625" style="379" customWidth="1"/>
    <col min="10540" max="10540" width="17.42578125" style="379" customWidth="1"/>
    <col min="10541" max="10541" width="15.7109375" style="379" customWidth="1"/>
    <col min="10542" max="10542" width="12.140625" style="379" bestFit="1" customWidth="1"/>
    <col min="10543" max="10543" width="17.42578125" style="379" customWidth="1"/>
    <col min="10544" max="10544" width="15.7109375" style="379" customWidth="1"/>
    <col min="10545" max="10545" width="10.28515625" style="379" customWidth="1"/>
    <col min="10546" max="10546" width="17.42578125" style="379" customWidth="1"/>
    <col min="10547" max="10547" width="15.7109375" style="379" customWidth="1"/>
    <col min="10548" max="10548" width="11.140625" style="379" customWidth="1"/>
    <col min="10549" max="10549" width="17.42578125" style="379" customWidth="1"/>
    <col min="10550" max="10550" width="15.7109375" style="379" customWidth="1"/>
    <col min="10551" max="10551" width="11.140625" style="379" customWidth="1"/>
    <col min="10552" max="10552" width="17.42578125" style="379" customWidth="1"/>
    <col min="10553" max="10553" width="15.7109375" style="379" customWidth="1"/>
    <col min="10554" max="10554" width="11.140625" style="379" customWidth="1"/>
    <col min="10555" max="10555" width="17.42578125" style="379" customWidth="1"/>
    <col min="10556" max="10556" width="15.7109375" style="379" customWidth="1"/>
    <col min="10557" max="10557" width="11.140625" style="379" customWidth="1"/>
    <col min="10558" max="10558" width="17.42578125" style="379" customWidth="1"/>
    <col min="10559" max="10559" width="13.42578125" style="379" customWidth="1"/>
    <col min="10560" max="10560" width="16.85546875" style="379" customWidth="1"/>
    <col min="10561" max="10561" width="12.7109375" style="379" customWidth="1"/>
    <col min="10562" max="10752" width="12.7109375" style="379"/>
    <col min="10753" max="10753" width="30.140625" style="379" customWidth="1"/>
    <col min="10754" max="10754" width="8.42578125" style="379" customWidth="1"/>
    <col min="10755" max="10755" width="15.7109375" style="379" customWidth="1"/>
    <col min="10756" max="10756" width="11.140625" style="379" customWidth="1"/>
    <col min="10757" max="10757" width="17.42578125" style="379" customWidth="1"/>
    <col min="10758" max="10758" width="15.7109375" style="379" customWidth="1"/>
    <col min="10759" max="10759" width="11.140625" style="379" customWidth="1"/>
    <col min="10760" max="10760" width="17.42578125" style="379" customWidth="1"/>
    <col min="10761" max="10761" width="15.7109375" style="379" customWidth="1"/>
    <col min="10762" max="10762" width="11.140625" style="379" customWidth="1"/>
    <col min="10763" max="10763" width="17.42578125" style="379" customWidth="1"/>
    <col min="10764" max="10764" width="15.7109375" style="379" customWidth="1"/>
    <col min="10765" max="10765" width="11.140625" style="379" customWidth="1"/>
    <col min="10766" max="10766" width="17.42578125" style="379" customWidth="1"/>
    <col min="10767" max="10767" width="15.7109375" style="379" customWidth="1"/>
    <col min="10768" max="10768" width="11.140625" style="379" customWidth="1"/>
    <col min="10769" max="10769" width="17.42578125" style="379" customWidth="1"/>
    <col min="10770" max="10770" width="15.7109375" style="379" customWidth="1"/>
    <col min="10771" max="10771" width="11.140625" style="379" customWidth="1"/>
    <col min="10772" max="10772" width="17.42578125" style="379" customWidth="1"/>
    <col min="10773" max="10773" width="15.7109375" style="379" customWidth="1"/>
    <col min="10774" max="10774" width="11.140625" style="379" customWidth="1"/>
    <col min="10775" max="10775" width="17.42578125" style="379" customWidth="1"/>
    <col min="10776" max="10776" width="15.7109375" style="379" customWidth="1"/>
    <col min="10777" max="10777" width="11.140625" style="379" customWidth="1"/>
    <col min="10778" max="10778" width="17.42578125" style="379" customWidth="1"/>
    <col min="10779" max="10779" width="15.7109375" style="379" customWidth="1"/>
    <col min="10780" max="10780" width="11.140625" style="379" customWidth="1"/>
    <col min="10781" max="10781" width="17.42578125" style="379" customWidth="1"/>
    <col min="10782" max="10782" width="15.7109375" style="379" customWidth="1"/>
    <col min="10783" max="10783" width="11.140625" style="379" customWidth="1"/>
    <col min="10784" max="10784" width="17.42578125" style="379" customWidth="1"/>
    <col min="10785" max="10785" width="15.7109375" style="379" customWidth="1"/>
    <col min="10786" max="10786" width="11.140625" style="379" customWidth="1"/>
    <col min="10787" max="10787" width="17.42578125" style="379" customWidth="1"/>
    <col min="10788" max="10788" width="15.7109375" style="379" customWidth="1"/>
    <col min="10789" max="10789" width="11.140625" style="379" customWidth="1"/>
    <col min="10790" max="10790" width="17.42578125" style="379" customWidth="1"/>
    <col min="10791" max="10791" width="15.7109375" style="379" customWidth="1"/>
    <col min="10792" max="10792" width="11.140625" style="379" customWidth="1"/>
    <col min="10793" max="10793" width="17.42578125" style="379" customWidth="1"/>
    <col min="10794" max="10794" width="15.7109375" style="379" customWidth="1"/>
    <col min="10795" max="10795" width="11.140625" style="379" customWidth="1"/>
    <col min="10796" max="10796" width="17.42578125" style="379" customWidth="1"/>
    <col min="10797" max="10797" width="15.7109375" style="379" customWidth="1"/>
    <col min="10798" max="10798" width="12.140625" style="379" bestFit="1" customWidth="1"/>
    <col min="10799" max="10799" width="17.42578125" style="379" customWidth="1"/>
    <col min="10800" max="10800" width="15.7109375" style="379" customWidth="1"/>
    <col min="10801" max="10801" width="10.28515625" style="379" customWidth="1"/>
    <col min="10802" max="10802" width="17.42578125" style="379" customWidth="1"/>
    <col min="10803" max="10803" width="15.7109375" style="379" customWidth="1"/>
    <col min="10804" max="10804" width="11.140625" style="379" customWidth="1"/>
    <col min="10805" max="10805" width="17.42578125" style="379" customWidth="1"/>
    <col min="10806" max="10806" width="15.7109375" style="379" customWidth="1"/>
    <col min="10807" max="10807" width="11.140625" style="379" customWidth="1"/>
    <col min="10808" max="10808" width="17.42578125" style="379" customWidth="1"/>
    <col min="10809" max="10809" width="15.7109375" style="379" customWidth="1"/>
    <col min="10810" max="10810" width="11.140625" style="379" customWidth="1"/>
    <col min="10811" max="10811" width="17.42578125" style="379" customWidth="1"/>
    <col min="10812" max="10812" width="15.7109375" style="379" customWidth="1"/>
    <col min="10813" max="10813" width="11.140625" style="379" customWidth="1"/>
    <col min="10814" max="10814" width="17.42578125" style="379" customWidth="1"/>
    <col min="10815" max="10815" width="13.42578125" style="379" customWidth="1"/>
    <col min="10816" max="10816" width="16.85546875" style="379" customWidth="1"/>
    <col min="10817" max="10817" width="12.7109375" style="379" customWidth="1"/>
    <col min="10818" max="11008" width="12.7109375" style="379"/>
    <col min="11009" max="11009" width="30.140625" style="379" customWidth="1"/>
    <col min="11010" max="11010" width="8.42578125" style="379" customWidth="1"/>
    <col min="11011" max="11011" width="15.7109375" style="379" customWidth="1"/>
    <col min="11012" max="11012" width="11.140625" style="379" customWidth="1"/>
    <col min="11013" max="11013" width="17.42578125" style="379" customWidth="1"/>
    <col min="11014" max="11014" width="15.7109375" style="379" customWidth="1"/>
    <col min="11015" max="11015" width="11.140625" style="379" customWidth="1"/>
    <col min="11016" max="11016" width="17.42578125" style="379" customWidth="1"/>
    <col min="11017" max="11017" width="15.7109375" style="379" customWidth="1"/>
    <col min="11018" max="11018" width="11.140625" style="379" customWidth="1"/>
    <col min="11019" max="11019" width="17.42578125" style="379" customWidth="1"/>
    <col min="11020" max="11020" width="15.7109375" style="379" customWidth="1"/>
    <col min="11021" max="11021" width="11.140625" style="379" customWidth="1"/>
    <col min="11022" max="11022" width="17.42578125" style="379" customWidth="1"/>
    <col min="11023" max="11023" width="15.7109375" style="379" customWidth="1"/>
    <col min="11024" max="11024" width="11.140625" style="379" customWidth="1"/>
    <col min="11025" max="11025" width="17.42578125" style="379" customWidth="1"/>
    <col min="11026" max="11026" width="15.7109375" style="379" customWidth="1"/>
    <col min="11027" max="11027" width="11.140625" style="379" customWidth="1"/>
    <col min="11028" max="11028" width="17.42578125" style="379" customWidth="1"/>
    <col min="11029" max="11029" width="15.7109375" style="379" customWidth="1"/>
    <col min="11030" max="11030" width="11.140625" style="379" customWidth="1"/>
    <col min="11031" max="11031" width="17.42578125" style="379" customWidth="1"/>
    <col min="11032" max="11032" width="15.7109375" style="379" customWidth="1"/>
    <col min="11033" max="11033" width="11.140625" style="379" customWidth="1"/>
    <col min="11034" max="11034" width="17.42578125" style="379" customWidth="1"/>
    <col min="11035" max="11035" width="15.7109375" style="379" customWidth="1"/>
    <col min="11036" max="11036" width="11.140625" style="379" customWidth="1"/>
    <col min="11037" max="11037" width="17.42578125" style="379" customWidth="1"/>
    <col min="11038" max="11038" width="15.7109375" style="379" customWidth="1"/>
    <col min="11039" max="11039" width="11.140625" style="379" customWidth="1"/>
    <col min="11040" max="11040" width="17.42578125" style="379" customWidth="1"/>
    <col min="11041" max="11041" width="15.7109375" style="379" customWidth="1"/>
    <col min="11042" max="11042" width="11.140625" style="379" customWidth="1"/>
    <col min="11043" max="11043" width="17.42578125" style="379" customWidth="1"/>
    <col min="11044" max="11044" width="15.7109375" style="379" customWidth="1"/>
    <col min="11045" max="11045" width="11.140625" style="379" customWidth="1"/>
    <col min="11046" max="11046" width="17.42578125" style="379" customWidth="1"/>
    <col min="11047" max="11047" width="15.7109375" style="379" customWidth="1"/>
    <col min="11048" max="11048" width="11.140625" style="379" customWidth="1"/>
    <col min="11049" max="11049" width="17.42578125" style="379" customWidth="1"/>
    <col min="11050" max="11050" width="15.7109375" style="379" customWidth="1"/>
    <col min="11051" max="11051" width="11.140625" style="379" customWidth="1"/>
    <col min="11052" max="11052" width="17.42578125" style="379" customWidth="1"/>
    <col min="11053" max="11053" width="15.7109375" style="379" customWidth="1"/>
    <col min="11054" max="11054" width="12.140625" style="379" bestFit="1" customWidth="1"/>
    <col min="11055" max="11055" width="17.42578125" style="379" customWidth="1"/>
    <col min="11056" max="11056" width="15.7109375" style="379" customWidth="1"/>
    <col min="11057" max="11057" width="10.28515625" style="379" customWidth="1"/>
    <col min="11058" max="11058" width="17.42578125" style="379" customWidth="1"/>
    <col min="11059" max="11059" width="15.7109375" style="379" customWidth="1"/>
    <col min="11060" max="11060" width="11.140625" style="379" customWidth="1"/>
    <col min="11061" max="11061" width="17.42578125" style="379" customWidth="1"/>
    <col min="11062" max="11062" width="15.7109375" style="379" customWidth="1"/>
    <col min="11063" max="11063" width="11.140625" style="379" customWidth="1"/>
    <col min="11064" max="11064" width="17.42578125" style="379" customWidth="1"/>
    <col min="11065" max="11065" width="15.7109375" style="379" customWidth="1"/>
    <col min="11066" max="11066" width="11.140625" style="379" customWidth="1"/>
    <col min="11067" max="11067" width="17.42578125" style="379" customWidth="1"/>
    <col min="11068" max="11068" width="15.7109375" style="379" customWidth="1"/>
    <col min="11069" max="11069" width="11.140625" style="379" customWidth="1"/>
    <col min="11070" max="11070" width="17.42578125" style="379" customWidth="1"/>
    <col min="11071" max="11071" width="13.42578125" style="379" customWidth="1"/>
    <col min="11072" max="11072" width="16.85546875" style="379" customWidth="1"/>
    <col min="11073" max="11073" width="12.7109375" style="379" customWidth="1"/>
    <col min="11074" max="11264" width="12.7109375" style="379"/>
    <col min="11265" max="11265" width="30.140625" style="379" customWidth="1"/>
    <col min="11266" max="11266" width="8.42578125" style="379" customWidth="1"/>
    <col min="11267" max="11267" width="15.7109375" style="379" customWidth="1"/>
    <col min="11268" max="11268" width="11.140625" style="379" customWidth="1"/>
    <col min="11269" max="11269" width="17.42578125" style="379" customWidth="1"/>
    <col min="11270" max="11270" width="15.7109375" style="379" customWidth="1"/>
    <col min="11271" max="11271" width="11.140625" style="379" customWidth="1"/>
    <col min="11272" max="11272" width="17.42578125" style="379" customWidth="1"/>
    <col min="11273" max="11273" width="15.7109375" style="379" customWidth="1"/>
    <col min="11274" max="11274" width="11.140625" style="379" customWidth="1"/>
    <col min="11275" max="11275" width="17.42578125" style="379" customWidth="1"/>
    <col min="11276" max="11276" width="15.7109375" style="379" customWidth="1"/>
    <col min="11277" max="11277" width="11.140625" style="379" customWidth="1"/>
    <col min="11278" max="11278" width="17.42578125" style="379" customWidth="1"/>
    <col min="11279" max="11279" width="15.7109375" style="379" customWidth="1"/>
    <col min="11280" max="11280" width="11.140625" style="379" customWidth="1"/>
    <col min="11281" max="11281" width="17.42578125" style="379" customWidth="1"/>
    <col min="11282" max="11282" width="15.7109375" style="379" customWidth="1"/>
    <col min="11283" max="11283" width="11.140625" style="379" customWidth="1"/>
    <col min="11284" max="11284" width="17.42578125" style="379" customWidth="1"/>
    <col min="11285" max="11285" width="15.7109375" style="379" customWidth="1"/>
    <col min="11286" max="11286" width="11.140625" style="379" customWidth="1"/>
    <col min="11287" max="11287" width="17.42578125" style="379" customWidth="1"/>
    <col min="11288" max="11288" width="15.7109375" style="379" customWidth="1"/>
    <col min="11289" max="11289" width="11.140625" style="379" customWidth="1"/>
    <col min="11290" max="11290" width="17.42578125" style="379" customWidth="1"/>
    <col min="11291" max="11291" width="15.7109375" style="379" customWidth="1"/>
    <col min="11292" max="11292" width="11.140625" style="379" customWidth="1"/>
    <col min="11293" max="11293" width="17.42578125" style="379" customWidth="1"/>
    <col min="11294" max="11294" width="15.7109375" style="379" customWidth="1"/>
    <col min="11295" max="11295" width="11.140625" style="379" customWidth="1"/>
    <col min="11296" max="11296" width="17.42578125" style="379" customWidth="1"/>
    <col min="11297" max="11297" width="15.7109375" style="379" customWidth="1"/>
    <col min="11298" max="11298" width="11.140625" style="379" customWidth="1"/>
    <col min="11299" max="11299" width="17.42578125" style="379" customWidth="1"/>
    <col min="11300" max="11300" width="15.7109375" style="379" customWidth="1"/>
    <col min="11301" max="11301" width="11.140625" style="379" customWidth="1"/>
    <col min="11302" max="11302" width="17.42578125" style="379" customWidth="1"/>
    <col min="11303" max="11303" width="15.7109375" style="379" customWidth="1"/>
    <col min="11304" max="11304" width="11.140625" style="379" customWidth="1"/>
    <col min="11305" max="11305" width="17.42578125" style="379" customWidth="1"/>
    <col min="11306" max="11306" width="15.7109375" style="379" customWidth="1"/>
    <col min="11307" max="11307" width="11.140625" style="379" customWidth="1"/>
    <col min="11308" max="11308" width="17.42578125" style="379" customWidth="1"/>
    <col min="11309" max="11309" width="15.7109375" style="379" customWidth="1"/>
    <col min="11310" max="11310" width="12.140625" style="379" bestFit="1" customWidth="1"/>
    <col min="11311" max="11311" width="17.42578125" style="379" customWidth="1"/>
    <col min="11312" max="11312" width="15.7109375" style="379" customWidth="1"/>
    <col min="11313" max="11313" width="10.28515625" style="379" customWidth="1"/>
    <col min="11314" max="11314" width="17.42578125" style="379" customWidth="1"/>
    <col min="11315" max="11315" width="15.7109375" style="379" customWidth="1"/>
    <col min="11316" max="11316" width="11.140625" style="379" customWidth="1"/>
    <col min="11317" max="11317" width="17.42578125" style="379" customWidth="1"/>
    <col min="11318" max="11318" width="15.7109375" style="379" customWidth="1"/>
    <col min="11319" max="11319" width="11.140625" style="379" customWidth="1"/>
    <col min="11320" max="11320" width="17.42578125" style="379" customWidth="1"/>
    <col min="11321" max="11321" width="15.7109375" style="379" customWidth="1"/>
    <col min="11322" max="11322" width="11.140625" style="379" customWidth="1"/>
    <col min="11323" max="11323" width="17.42578125" style="379" customWidth="1"/>
    <col min="11324" max="11324" width="15.7109375" style="379" customWidth="1"/>
    <col min="11325" max="11325" width="11.140625" style="379" customWidth="1"/>
    <col min="11326" max="11326" width="17.42578125" style="379" customWidth="1"/>
    <col min="11327" max="11327" width="13.42578125" style="379" customWidth="1"/>
    <col min="11328" max="11328" width="16.85546875" style="379" customWidth="1"/>
    <col min="11329" max="11329" width="12.7109375" style="379" customWidth="1"/>
    <col min="11330" max="11520" width="12.7109375" style="379"/>
    <col min="11521" max="11521" width="30.140625" style="379" customWidth="1"/>
    <col min="11522" max="11522" width="8.42578125" style="379" customWidth="1"/>
    <col min="11523" max="11523" width="15.7109375" style="379" customWidth="1"/>
    <col min="11524" max="11524" width="11.140625" style="379" customWidth="1"/>
    <col min="11525" max="11525" width="17.42578125" style="379" customWidth="1"/>
    <col min="11526" max="11526" width="15.7109375" style="379" customWidth="1"/>
    <col min="11527" max="11527" width="11.140625" style="379" customWidth="1"/>
    <col min="11528" max="11528" width="17.42578125" style="379" customWidth="1"/>
    <col min="11529" max="11529" width="15.7109375" style="379" customWidth="1"/>
    <col min="11530" max="11530" width="11.140625" style="379" customWidth="1"/>
    <col min="11531" max="11531" width="17.42578125" style="379" customWidth="1"/>
    <col min="11532" max="11532" width="15.7109375" style="379" customWidth="1"/>
    <col min="11533" max="11533" width="11.140625" style="379" customWidth="1"/>
    <col min="11534" max="11534" width="17.42578125" style="379" customWidth="1"/>
    <col min="11535" max="11535" width="15.7109375" style="379" customWidth="1"/>
    <col min="11536" max="11536" width="11.140625" style="379" customWidth="1"/>
    <col min="11537" max="11537" width="17.42578125" style="379" customWidth="1"/>
    <col min="11538" max="11538" width="15.7109375" style="379" customWidth="1"/>
    <col min="11539" max="11539" width="11.140625" style="379" customWidth="1"/>
    <col min="11540" max="11540" width="17.42578125" style="379" customWidth="1"/>
    <col min="11541" max="11541" width="15.7109375" style="379" customWidth="1"/>
    <col min="11542" max="11542" width="11.140625" style="379" customWidth="1"/>
    <col min="11543" max="11543" width="17.42578125" style="379" customWidth="1"/>
    <col min="11544" max="11544" width="15.7109375" style="379" customWidth="1"/>
    <col min="11545" max="11545" width="11.140625" style="379" customWidth="1"/>
    <col min="11546" max="11546" width="17.42578125" style="379" customWidth="1"/>
    <col min="11547" max="11547" width="15.7109375" style="379" customWidth="1"/>
    <col min="11548" max="11548" width="11.140625" style="379" customWidth="1"/>
    <col min="11549" max="11549" width="17.42578125" style="379" customWidth="1"/>
    <col min="11550" max="11550" width="15.7109375" style="379" customWidth="1"/>
    <col min="11551" max="11551" width="11.140625" style="379" customWidth="1"/>
    <col min="11552" max="11552" width="17.42578125" style="379" customWidth="1"/>
    <col min="11553" max="11553" width="15.7109375" style="379" customWidth="1"/>
    <col min="11554" max="11554" width="11.140625" style="379" customWidth="1"/>
    <col min="11555" max="11555" width="17.42578125" style="379" customWidth="1"/>
    <col min="11556" max="11556" width="15.7109375" style="379" customWidth="1"/>
    <col min="11557" max="11557" width="11.140625" style="379" customWidth="1"/>
    <col min="11558" max="11558" width="17.42578125" style="379" customWidth="1"/>
    <col min="11559" max="11559" width="15.7109375" style="379" customWidth="1"/>
    <col min="11560" max="11560" width="11.140625" style="379" customWidth="1"/>
    <col min="11561" max="11561" width="17.42578125" style="379" customWidth="1"/>
    <col min="11562" max="11562" width="15.7109375" style="379" customWidth="1"/>
    <col min="11563" max="11563" width="11.140625" style="379" customWidth="1"/>
    <col min="11564" max="11564" width="17.42578125" style="379" customWidth="1"/>
    <col min="11565" max="11565" width="15.7109375" style="379" customWidth="1"/>
    <col min="11566" max="11566" width="12.140625" style="379" bestFit="1" customWidth="1"/>
    <col min="11567" max="11567" width="17.42578125" style="379" customWidth="1"/>
    <col min="11568" max="11568" width="15.7109375" style="379" customWidth="1"/>
    <col min="11569" max="11569" width="10.28515625" style="379" customWidth="1"/>
    <col min="11570" max="11570" width="17.42578125" style="379" customWidth="1"/>
    <col min="11571" max="11571" width="15.7109375" style="379" customWidth="1"/>
    <col min="11572" max="11572" width="11.140625" style="379" customWidth="1"/>
    <col min="11573" max="11573" width="17.42578125" style="379" customWidth="1"/>
    <col min="11574" max="11574" width="15.7109375" style="379" customWidth="1"/>
    <col min="11575" max="11575" width="11.140625" style="379" customWidth="1"/>
    <col min="11576" max="11576" width="17.42578125" style="379" customWidth="1"/>
    <col min="11577" max="11577" width="15.7109375" style="379" customWidth="1"/>
    <col min="11578" max="11578" width="11.140625" style="379" customWidth="1"/>
    <col min="11579" max="11579" width="17.42578125" style="379" customWidth="1"/>
    <col min="11580" max="11580" width="15.7109375" style="379" customWidth="1"/>
    <col min="11581" max="11581" width="11.140625" style="379" customWidth="1"/>
    <col min="11582" max="11582" width="17.42578125" style="379" customWidth="1"/>
    <col min="11583" max="11583" width="13.42578125" style="379" customWidth="1"/>
    <col min="11584" max="11584" width="16.85546875" style="379" customWidth="1"/>
    <col min="11585" max="11585" width="12.7109375" style="379" customWidth="1"/>
    <col min="11586" max="11776" width="12.7109375" style="379"/>
    <col min="11777" max="11777" width="30.140625" style="379" customWidth="1"/>
    <col min="11778" max="11778" width="8.42578125" style="379" customWidth="1"/>
    <col min="11779" max="11779" width="15.7109375" style="379" customWidth="1"/>
    <col min="11780" max="11780" width="11.140625" style="379" customWidth="1"/>
    <col min="11781" max="11781" width="17.42578125" style="379" customWidth="1"/>
    <col min="11782" max="11782" width="15.7109375" style="379" customWidth="1"/>
    <col min="11783" max="11783" width="11.140625" style="379" customWidth="1"/>
    <col min="11784" max="11784" width="17.42578125" style="379" customWidth="1"/>
    <col min="11785" max="11785" width="15.7109375" style="379" customWidth="1"/>
    <col min="11786" max="11786" width="11.140625" style="379" customWidth="1"/>
    <col min="11787" max="11787" width="17.42578125" style="379" customWidth="1"/>
    <col min="11788" max="11788" width="15.7109375" style="379" customWidth="1"/>
    <col min="11789" max="11789" width="11.140625" style="379" customWidth="1"/>
    <col min="11790" max="11790" width="17.42578125" style="379" customWidth="1"/>
    <col min="11791" max="11791" width="15.7109375" style="379" customWidth="1"/>
    <col min="11792" max="11792" width="11.140625" style="379" customWidth="1"/>
    <col min="11793" max="11793" width="17.42578125" style="379" customWidth="1"/>
    <col min="11794" max="11794" width="15.7109375" style="379" customWidth="1"/>
    <col min="11795" max="11795" width="11.140625" style="379" customWidth="1"/>
    <col min="11796" max="11796" width="17.42578125" style="379" customWidth="1"/>
    <col min="11797" max="11797" width="15.7109375" style="379" customWidth="1"/>
    <col min="11798" max="11798" width="11.140625" style="379" customWidth="1"/>
    <col min="11799" max="11799" width="17.42578125" style="379" customWidth="1"/>
    <col min="11800" max="11800" width="15.7109375" style="379" customWidth="1"/>
    <col min="11801" max="11801" width="11.140625" style="379" customWidth="1"/>
    <col min="11802" max="11802" width="17.42578125" style="379" customWidth="1"/>
    <col min="11803" max="11803" width="15.7109375" style="379" customWidth="1"/>
    <col min="11804" max="11804" width="11.140625" style="379" customWidth="1"/>
    <col min="11805" max="11805" width="17.42578125" style="379" customWidth="1"/>
    <col min="11806" max="11806" width="15.7109375" style="379" customWidth="1"/>
    <col min="11807" max="11807" width="11.140625" style="379" customWidth="1"/>
    <col min="11808" max="11808" width="17.42578125" style="379" customWidth="1"/>
    <col min="11809" max="11809" width="15.7109375" style="379" customWidth="1"/>
    <col min="11810" max="11810" width="11.140625" style="379" customWidth="1"/>
    <col min="11811" max="11811" width="17.42578125" style="379" customWidth="1"/>
    <col min="11812" max="11812" width="15.7109375" style="379" customWidth="1"/>
    <col min="11813" max="11813" width="11.140625" style="379" customWidth="1"/>
    <col min="11814" max="11814" width="17.42578125" style="379" customWidth="1"/>
    <col min="11815" max="11815" width="15.7109375" style="379" customWidth="1"/>
    <col min="11816" max="11816" width="11.140625" style="379" customWidth="1"/>
    <col min="11817" max="11817" width="17.42578125" style="379" customWidth="1"/>
    <col min="11818" max="11818" width="15.7109375" style="379" customWidth="1"/>
    <col min="11819" max="11819" width="11.140625" style="379" customWidth="1"/>
    <col min="11820" max="11820" width="17.42578125" style="379" customWidth="1"/>
    <col min="11821" max="11821" width="15.7109375" style="379" customWidth="1"/>
    <col min="11822" max="11822" width="12.140625" style="379" bestFit="1" customWidth="1"/>
    <col min="11823" max="11823" width="17.42578125" style="379" customWidth="1"/>
    <col min="11824" max="11824" width="15.7109375" style="379" customWidth="1"/>
    <col min="11825" max="11825" width="10.28515625" style="379" customWidth="1"/>
    <col min="11826" max="11826" width="17.42578125" style="379" customWidth="1"/>
    <col min="11827" max="11827" width="15.7109375" style="379" customWidth="1"/>
    <col min="11828" max="11828" width="11.140625" style="379" customWidth="1"/>
    <col min="11829" max="11829" width="17.42578125" style="379" customWidth="1"/>
    <col min="11830" max="11830" width="15.7109375" style="379" customWidth="1"/>
    <col min="11831" max="11831" width="11.140625" style="379" customWidth="1"/>
    <col min="11832" max="11832" width="17.42578125" style="379" customWidth="1"/>
    <col min="11833" max="11833" width="15.7109375" style="379" customWidth="1"/>
    <col min="11834" max="11834" width="11.140625" style="379" customWidth="1"/>
    <col min="11835" max="11835" width="17.42578125" style="379" customWidth="1"/>
    <col min="11836" max="11836" width="15.7109375" style="379" customWidth="1"/>
    <col min="11837" max="11837" width="11.140625" style="379" customWidth="1"/>
    <col min="11838" max="11838" width="17.42578125" style="379" customWidth="1"/>
    <col min="11839" max="11839" width="13.42578125" style="379" customWidth="1"/>
    <col min="11840" max="11840" width="16.85546875" style="379" customWidth="1"/>
    <col min="11841" max="11841" width="12.7109375" style="379" customWidth="1"/>
    <col min="11842" max="12032" width="12.7109375" style="379"/>
    <col min="12033" max="12033" width="30.140625" style="379" customWidth="1"/>
    <col min="12034" max="12034" width="8.42578125" style="379" customWidth="1"/>
    <col min="12035" max="12035" width="15.7109375" style="379" customWidth="1"/>
    <col min="12036" max="12036" width="11.140625" style="379" customWidth="1"/>
    <col min="12037" max="12037" width="17.42578125" style="379" customWidth="1"/>
    <col min="12038" max="12038" width="15.7109375" style="379" customWidth="1"/>
    <col min="12039" max="12039" width="11.140625" style="379" customWidth="1"/>
    <col min="12040" max="12040" width="17.42578125" style="379" customWidth="1"/>
    <col min="12041" max="12041" width="15.7109375" style="379" customWidth="1"/>
    <col min="12042" max="12042" width="11.140625" style="379" customWidth="1"/>
    <col min="12043" max="12043" width="17.42578125" style="379" customWidth="1"/>
    <col min="12044" max="12044" width="15.7109375" style="379" customWidth="1"/>
    <col min="12045" max="12045" width="11.140625" style="379" customWidth="1"/>
    <col min="12046" max="12046" width="17.42578125" style="379" customWidth="1"/>
    <col min="12047" max="12047" width="15.7109375" style="379" customWidth="1"/>
    <col min="12048" max="12048" width="11.140625" style="379" customWidth="1"/>
    <col min="12049" max="12049" width="17.42578125" style="379" customWidth="1"/>
    <col min="12050" max="12050" width="15.7109375" style="379" customWidth="1"/>
    <col min="12051" max="12051" width="11.140625" style="379" customWidth="1"/>
    <col min="12052" max="12052" width="17.42578125" style="379" customWidth="1"/>
    <col min="12053" max="12053" width="15.7109375" style="379" customWidth="1"/>
    <col min="12054" max="12054" width="11.140625" style="379" customWidth="1"/>
    <col min="12055" max="12055" width="17.42578125" style="379" customWidth="1"/>
    <col min="12056" max="12056" width="15.7109375" style="379" customWidth="1"/>
    <col min="12057" max="12057" width="11.140625" style="379" customWidth="1"/>
    <col min="12058" max="12058" width="17.42578125" style="379" customWidth="1"/>
    <col min="12059" max="12059" width="15.7109375" style="379" customWidth="1"/>
    <col min="12060" max="12060" width="11.140625" style="379" customWidth="1"/>
    <col min="12061" max="12061" width="17.42578125" style="379" customWidth="1"/>
    <col min="12062" max="12062" width="15.7109375" style="379" customWidth="1"/>
    <col min="12063" max="12063" width="11.140625" style="379" customWidth="1"/>
    <col min="12064" max="12064" width="17.42578125" style="379" customWidth="1"/>
    <col min="12065" max="12065" width="15.7109375" style="379" customWidth="1"/>
    <col min="12066" max="12066" width="11.140625" style="379" customWidth="1"/>
    <col min="12067" max="12067" width="17.42578125" style="379" customWidth="1"/>
    <col min="12068" max="12068" width="15.7109375" style="379" customWidth="1"/>
    <col min="12069" max="12069" width="11.140625" style="379" customWidth="1"/>
    <col min="12070" max="12070" width="17.42578125" style="379" customWidth="1"/>
    <col min="12071" max="12071" width="15.7109375" style="379" customWidth="1"/>
    <col min="12072" max="12072" width="11.140625" style="379" customWidth="1"/>
    <col min="12073" max="12073" width="17.42578125" style="379" customWidth="1"/>
    <col min="12074" max="12074" width="15.7109375" style="379" customWidth="1"/>
    <col min="12075" max="12075" width="11.140625" style="379" customWidth="1"/>
    <col min="12076" max="12076" width="17.42578125" style="379" customWidth="1"/>
    <col min="12077" max="12077" width="15.7109375" style="379" customWidth="1"/>
    <col min="12078" max="12078" width="12.140625" style="379" bestFit="1" customWidth="1"/>
    <col min="12079" max="12079" width="17.42578125" style="379" customWidth="1"/>
    <col min="12080" max="12080" width="15.7109375" style="379" customWidth="1"/>
    <col min="12081" max="12081" width="10.28515625" style="379" customWidth="1"/>
    <col min="12082" max="12082" width="17.42578125" style="379" customWidth="1"/>
    <col min="12083" max="12083" width="15.7109375" style="379" customWidth="1"/>
    <col min="12084" max="12084" width="11.140625" style="379" customWidth="1"/>
    <col min="12085" max="12085" width="17.42578125" style="379" customWidth="1"/>
    <col min="12086" max="12086" width="15.7109375" style="379" customWidth="1"/>
    <col min="12087" max="12087" width="11.140625" style="379" customWidth="1"/>
    <col min="12088" max="12088" width="17.42578125" style="379" customWidth="1"/>
    <col min="12089" max="12089" width="15.7109375" style="379" customWidth="1"/>
    <col min="12090" max="12090" width="11.140625" style="379" customWidth="1"/>
    <col min="12091" max="12091" width="17.42578125" style="379" customWidth="1"/>
    <col min="12092" max="12092" width="15.7109375" style="379" customWidth="1"/>
    <col min="12093" max="12093" width="11.140625" style="379" customWidth="1"/>
    <col min="12094" max="12094" width="17.42578125" style="379" customWidth="1"/>
    <col min="12095" max="12095" width="13.42578125" style="379" customWidth="1"/>
    <col min="12096" max="12096" width="16.85546875" style="379" customWidth="1"/>
    <col min="12097" max="12097" width="12.7109375" style="379" customWidth="1"/>
    <col min="12098" max="12288" width="12.7109375" style="379"/>
    <col min="12289" max="12289" width="30.140625" style="379" customWidth="1"/>
    <col min="12290" max="12290" width="8.42578125" style="379" customWidth="1"/>
    <col min="12291" max="12291" width="15.7109375" style="379" customWidth="1"/>
    <col min="12292" max="12292" width="11.140625" style="379" customWidth="1"/>
    <col min="12293" max="12293" width="17.42578125" style="379" customWidth="1"/>
    <col min="12294" max="12294" width="15.7109375" style="379" customWidth="1"/>
    <col min="12295" max="12295" width="11.140625" style="379" customWidth="1"/>
    <col min="12296" max="12296" width="17.42578125" style="379" customWidth="1"/>
    <col min="12297" max="12297" width="15.7109375" style="379" customWidth="1"/>
    <col min="12298" max="12298" width="11.140625" style="379" customWidth="1"/>
    <col min="12299" max="12299" width="17.42578125" style="379" customWidth="1"/>
    <col min="12300" max="12300" width="15.7109375" style="379" customWidth="1"/>
    <col min="12301" max="12301" width="11.140625" style="379" customWidth="1"/>
    <col min="12302" max="12302" width="17.42578125" style="379" customWidth="1"/>
    <col min="12303" max="12303" width="15.7109375" style="379" customWidth="1"/>
    <col min="12304" max="12304" width="11.140625" style="379" customWidth="1"/>
    <col min="12305" max="12305" width="17.42578125" style="379" customWidth="1"/>
    <col min="12306" max="12306" width="15.7109375" style="379" customWidth="1"/>
    <col min="12307" max="12307" width="11.140625" style="379" customWidth="1"/>
    <col min="12308" max="12308" width="17.42578125" style="379" customWidth="1"/>
    <col min="12309" max="12309" width="15.7109375" style="379" customWidth="1"/>
    <col min="12310" max="12310" width="11.140625" style="379" customWidth="1"/>
    <col min="12311" max="12311" width="17.42578125" style="379" customWidth="1"/>
    <col min="12312" max="12312" width="15.7109375" style="379" customWidth="1"/>
    <col min="12313" max="12313" width="11.140625" style="379" customWidth="1"/>
    <col min="12314" max="12314" width="17.42578125" style="379" customWidth="1"/>
    <col min="12315" max="12315" width="15.7109375" style="379" customWidth="1"/>
    <col min="12316" max="12316" width="11.140625" style="379" customWidth="1"/>
    <col min="12317" max="12317" width="17.42578125" style="379" customWidth="1"/>
    <col min="12318" max="12318" width="15.7109375" style="379" customWidth="1"/>
    <col min="12319" max="12319" width="11.140625" style="379" customWidth="1"/>
    <col min="12320" max="12320" width="17.42578125" style="379" customWidth="1"/>
    <col min="12321" max="12321" width="15.7109375" style="379" customWidth="1"/>
    <col min="12322" max="12322" width="11.140625" style="379" customWidth="1"/>
    <col min="12323" max="12323" width="17.42578125" style="379" customWidth="1"/>
    <col min="12324" max="12324" width="15.7109375" style="379" customWidth="1"/>
    <col min="12325" max="12325" width="11.140625" style="379" customWidth="1"/>
    <col min="12326" max="12326" width="17.42578125" style="379" customWidth="1"/>
    <col min="12327" max="12327" width="15.7109375" style="379" customWidth="1"/>
    <col min="12328" max="12328" width="11.140625" style="379" customWidth="1"/>
    <col min="12329" max="12329" width="17.42578125" style="379" customWidth="1"/>
    <col min="12330" max="12330" width="15.7109375" style="379" customWidth="1"/>
    <col min="12331" max="12331" width="11.140625" style="379" customWidth="1"/>
    <col min="12332" max="12332" width="17.42578125" style="379" customWidth="1"/>
    <col min="12333" max="12333" width="15.7109375" style="379" customWidth="1"/>
    <col min="12334" max="12334" width="12.140625" style="379" bestFit="1" customWidth="1"/>
    <col min="12335" max="12335" width="17.42578125" style="379" customWidth="1"/>
    <col min="12336" max="12336" width="15.7109375" style="379" customWidth="1"/>
    <col min="12337" max="12337" width="10.28515625" style="379" customWidth="1"/>
    <col min="12338" max="12338" width="17.42578125" style="379" customWidth="1"/>
    <col min="12339" max="12339" width="15.7109375" style="379" customWidth="1"/>
    <col min="12340" max="12340" width="11.140625" style="379" customWidth="1"/>
    <col min="12341" max="12341" width="17.42578125" style="379" customWidth="1"/>
    <col min="12342" max="12342" width="15.7109375" style="379" customWidth="1"/>
    <col min="12343" max="12343" width="11.140625" style="379" customWidth="1"/>
    <col min="12344" max="12344" width="17.42578125" style="379" customWidth="1"/>
    <col min="12345" max="12345" width="15.7109375" style="379" customWidth="1"/>
    <col min="12346" max="12346" width="11.140625" style="379" customWidth="1"/>
    <col min="12347" max="12347" width="17.42578125" style="379" customWidth="1"/>
    <col min="12348" max="12348" width="15.7109375" style="379" customWidth="1"/>
    <col min="12349" max="12349" width="11.140625" style="379" customWidth="1"/>
    <col min="12350" max="12350" width="17.42578125" style="379" customWidth="1"/>
    <col min="12351" max="12351" width="13.42578125" style="379" customWidth="1"/>
    <col min="12352" max="12352" width="16.85546875" style="379" customWidth="1"/>
    <col min="12353" max="12353" width="12.7109375" style="379" customWidth="1"/>
    <col min="12354" max="12544" width="12.7109375" style="379"/>
    <col min="12545" max="12545" width="30.140625" style="379" customWidth="1"/>
    <col min="12546" max="12546" width="8.42578125" style="379" customWidth="1"/>
    <col min="12547" max="12547" width="15.7109375" style="379" customWidth="1"/>
    <col min="12548" max="12548" width="11.140625" style="379" customWidth="1"/>
    <col min="12549" max="12549" width="17.42578125" style="379" customWidth="1"/>
    <col min="12550" max="12550" width="15.7109375" style="379" customWidth="1"/>
    <col min="12551" max="12551" width="11.140625" style="379" customWidth="1"/>
    <col min="12552" max="12552" width="17.42578125" style="379" customWidth="1"/>
    <col min="12553" max="12553" width="15.7109375" style="379" customWidth="1"/>
    <col min="12554" max="12554" width="11.140625" style="379" customWidth="1"/>
    <col min="12555" max="12555" width="17.42578125" style="379" customWidth="1"/>
    <col min="12556" max="12556" width="15.7109375" style="379" customWidth="1"/>
    <col min="12557" max="12557" width="11.140625" style="379" customWidth="1"/>
    <col min="12558" max="12558" width="17.42578125" style="379" customWidth="1"/>
    <col min="12559" max="12559" width="15.7109375" style="379" customWidth="1"/>
    <col min="12560" max="12560" width="11.140625" style="379" customWidth="1"/>
    <col min="12561" max="12561" width="17.42578125" style="379" customWidth="1"/>
    <col min="12562" max="12562" width="15.7109375" style="379" customWidth="1"/>
    <col min="12563" max="12563" width="11.140625" style="379" customWidth="1"/>
    <col min="12564" max="12564" width="17.42578125" style="379" customWidth="1"/>
    <col min="12565" max="12565" width="15.7109375" style="379" customWidth="1"/>
    <col min="12566" max="12566" width="11.140625" style="379" customWidth="1"/>
    <col min="12567" max="12567" width="17.42578125" style="379" customWidth="1"/>
    <col min="12568" max="12568" width="15.7109375" style="379" customWidth="1"/>
    <col min="12569" max="12569" width="11.140625" style="379" customWidth="1"/>
    <col min="12570" max="12570" width="17.42578125" style="379" customWidth="1"/>
    <col min="12571" max="12571" width="15.7109375" style="379" customWidth="1"/>
    <col min="12572" max="12572" width="11.140625" style="379" customWidth="1"/>
    <col min="12573" max="12573" width="17.42578125" style="379" customWidth="1"/>
    <col min="12574" max="12574" width="15.7109375" style="379" customWidth="1"/>
    <col min="12575" max="12575" width="11.140625" style="379" customWidth="1"/>
    <col min="12576" max="12576" width="17.42578125" style="379" customWidth="1"/>
    <col min="12577" max="12577" width="15.7109375" style="379" customWidth="1"/>
    <col min="12578" max="12578" width="11.140625" style="379" customWidth="1"/>
    <col min="12579" max="12579" width="17.42578125" style="379" customWidth="1"/>
    <col min="12580" max="12580" width="15.7109375" style="379" customWidth="1"/>
    <col min="12581" max="12581" width="11.140625" style="379" customWidth="1"/>
    <col min="12582" max="12582" width="17.42578125" style="379" customWidth="1"/>
    <col min="12583" max="12583" width="15.7109375" style="379" customWidth="1"/>
    <col min="12584" max="12584" width="11.140625" style="379" customWidth="1"/>
    <col min="12585" max="12585" width="17.42578125" style="379" customWidth="1"/>
    <col min="12586" max="12586" width="15.7109375" style="379" customWidth="1"/>
    <col min="12587" max="12587" width="11.140625" style="379" customWidth="1"/>
    <col min="12588" max="12588" width="17.42578125" style="379" customWidth="1"/>
    <col min="12589" max="12589" width="15.7109375" style="379" customWidth="1"/>
    <col min="12590" max="12590" width="12.140625" style="379" bestFit="1" customWidth="1"/>
    <col min="12591" max="12591" width="17.42578125" style="379" customWidth="1"/>
    <col min="12592" max="12592" width="15.7109375" style="379" customWidth="1"/>
    <col min="12593" max="12593" width="10.28515625" style="379" customWidth="1"/>
    <col min="12594" max="12594" width="17.42578125" style="379" customWidth="1"/>
    <col min="12595" max="12595" width="15.7109375" style="379" customWidth="1"/>
    <col min="12596" max="12596" width="11.140625" style="379" customWidth="1"/>
    <col min="12597" max="12597" width="17.42578125" style="379" customWidth="1"/>
    <col min="12598" max="12598" width="15.7109375" style="379" customWidth="1"/>
    <col min="12599" max="12599" width="11.140625" style="379" customWidth="1"/>
    <col min="12600" max="12600" width="17.42578125" style="379" customWidth="1"/>
    <col min="12601" max="12601" width="15.7109375" style="379" customWidth="1"/>
    <col min="12602" max="12602" width="11.140625" style="379" customWidth="1"/>
    <col min="12603" max="12603" width="17.42578125" style="379" customWidth="1"/>
    <col min="12604" max="12604" width="15.7109375" style="379" customWidth="1"/>
    <col min="12605" max="12605" width="11.140625" style="379" customWidth="1"/>
    <col min="12606" max="12606" width="17.42578125" style="379" customWidth="1"/>
    <col min="12607" max="12607" width="13.42578125" style="379" customWidth="1"/>
    <col min="12608" max="12608" width="16.85546875" style="379" customWidth="1"/>
    <col min="12609" max="12609" width="12.7109375" style="379" customWidth="1"/>
    <col min="12610" max="12800" width="12.7109375" style="379"/>
    <col min="12801" max="12801" width="30.140625" style="379" customWidth="1"/>
    <col min="12802" max="12802" width="8.42578125" style="379" customWidth="1"/>
    <col min="12803" max="12803" width="15.7109375" style="379" customWidth="1"/>
    <col min="12804" max="12804" width="11.140625" style="379" customWidth="1"/>
    <col min="12805" max="12805" width="17.42578125" style="379" customWidth="1"/>
    <col min="12806" max="12806" width="15.7109375" style="379" customWidth="1"/>
    <col min="12807" max="12807" width="11.140625" style="379" customWidth="1"/>
    <col min="12808" max="12808" width="17.42578125" style="379" customWidth="1"/>
    <col min="12809" max="12809" width="15.7109375" style="379" customWidth="1"/>
    <col min="12810" max="12810" width="11.140625" style="379" customWidth="1"/>
    <col min="12811" max="12811" width="17.42578125" style="379" customWidth="1"/>
    <col min="12812" max="12812" width="15.7109375" style="379" customWidth="1"/>
    <col min="12813" max="12813" width="11.140625" style="379" customWidth="1"/>
    <col min="12814" max="12814" width="17.42578125" style="379" customWidth="1"/>
    <col min="12815" max="12815" width="15.7109375" style="379" customWidth="1"/>
    <col min="12816" max="12816" width="11.140625" style="379" customWidth="1"/>
    <col min="12817" max="12817" width="17.42578125" style="379" customWidth="1"/>
    <col min="12818" max="12818" width="15.7109375" style="379" customWidth="1"/>
    <col min="12819" max="12819" width="11.140625" style="379" customWidth="1"/>
    <col min="12820" max="12820" width="17.42578125" style="379" customWidth="1"/>
    <col min="12821" max="12821" width="15.7109375" style="379" customWidth="1"/>
    <col min="12822" max="12822" width="11.140625" style="379" customWidth="1"/>
    <col min="12823" max="12823" width="17.42578125" style="379" customWidth="1"/>
    <col min="12824" max="12824" width="15.7109375" style="379" customWidth="1"/>
    <col min="12825" max="12825" width="11.140625" style="379" customWidth="1"/>
    <col min="12826" max="12826" width="17.42578125" style="379" customWidth="1"/>
    <col min="12827" max="12827" width="15.7109375" style="379" customWidth="1"/>
    <col min="12828" max="12828" width="11.140625" style="379" customWidth="1"/>
    <col min="12829" max="12829" width="17.42578125" style="379" customWidth="1"/>
    <col min="12830" max="12830" width="15.7109375" style="379" customWidth="1"/>
    <col min="12831" max="12831" width="11.140625" style="379" customWidth="1"/>
    <col min="12832" max="12832" width="17.42578125" style="379" customWidth="1"/>
    <col min="12833" max="12833" width="15.7109375" style="379" customWidth="1"/>
    <col min="12834" max="12834" width="11.140625" style="379" customWidth="1"/>
    <col min="12835" max="12835" width="17.42578125" style="379" customWidth="1"/>
    <col min="12836" max="12836" width="15.7109375" style="379" customWidth="1"/>
    <col min="12837" max="12837" width="11.140625" style="379" customWidth="1"/>
    <col min="12838" max="12838" width="17.42578125" style="379" customWidth="1"/>
    <col min="12839" max="12839" width="15.7109375" style="379" customWidth="1"/>
    <col min="12840" max="12840" width="11.140625" style="379" customWidth="1"/>
    <col min="12841" max="12841" width="17.42578125" style="379" customWidth="1"/>
    <col min="12842" max="12842" width="15.7109375" style="379" customWidth="1"/>
    <col min="12843" max="12843" width="11.140625" style="379" customWidth="1"/>
    <col min="12844" max="12844" width="17.42578125" style="379" customWidth="1"/>
    <col min="12845" max="12845" width="15.7109375" style="379" customWidth="1"/>
    <col min="12846" max="12846" width="12.140625" style="379" bestFit="1" customWidth="1"/>
    <col min="12847" max="12847" width="17.42578125" style="379" customWidth="1"/>
    <col min="12848" max="12848" width="15.7109375" style="379" customWidth="1"/>
    <col min="12849" max="12849" width="10.28515625" style="379" customWidth="1"/>
    <col min="12850" max="12850" width="17.42578125" style="379" customWidth="1"/>
    <col min="12851" max="12851" width="15.7109375" style="379" customWidth="1"/>
    <col min="12852" max="12852" width="11.140625" style="379" customWidth="1"/>
    <col min="12853" max="12853" width="17.42578125" style="379" customWidth="1"/>
    <col min="12854" max="12854" width="15.7109375" style="379" customWidth="1"/>
    <col min="12855" max="12855" width="11.140625" style="379" customWidth="1"/>
    <col min="12856" max="12856" width="17.42578125" style="379" customWidth="1"/>
    <col min="12857" max="12857" width="15.7109375" style="379" customWidth="1"/>
    <col min="12858" max="12858" width="11.140625" style="379" customWidth="1"/>
    <col min="12859" max="12859" width="17.42578125" style="379" customWidth="1"/>
    <col min="12860" max="12860" width="15.7109375" style="379" customWidth="1"/>
    <col min="12861" max="12861" width="11.140625" style="379" customWidth="1"/>
    <col min="12862" max="12862" width="17.42578125" style="379" customWidth="1"/>
    <col min="12863" max="12863" width="13.42578125" style="379" customWidth="1"/>
    <col min="12864" max="12864" width="16.85546875" style="379" customWidth="1"/>
    <col min="12865" max="12865" width="12.7109375" style="379" customWidth="1"/>
    <col min="12866" max="13056" width="12.7109375" style="379"/>
    <col min="13057" max="13057" width="30.140625" style="379" customWidth="1"/>
    <col min="13058" max="13058" width="8.42578125" style="379" customWidth="1"/>
    <col min="13059" max="13059" width="15.7109375" style="379" customWidth="1"/>
    <col min="13060" max="13060" width="11.140625" style="379" customWidth="1"/>
    <col min="13061" max="13061" width="17.42578125" style="379" customWidth="1"/>
    <col min="13062" max="13062" width="15.7109375" style="379" customWidth="1"/>
    <col min="13063" max="13063" width="11.140625" style="379" customWidth="1"/>
    <col min="13064" max="13064" width="17.42578125" style="379" customWidth="1"/>
    <col min="13065" max="13065" width="15.7109375" style="379" customWidth="1"/>
    <col min="13066" max="13066" width="11.140625" style="379" customWidth="1"/>
    <col min="13067" max="13067" width="17.42578125" style="379" customWidth="1"/>
    <col min="13068" max="13068" width="15.7109375" style="379" customWidth="1"/>
    <col min="13069" max="13069" width="11.140625" style="379" customWidth="1"/>
    <col min="13070" max="13070" width="17.42578125" style="379" customWidth="1"/>
    <col min="13071" max="13071" width="15.7109375" style="379" customWidth="1"/>
    <col min="13072" max="13072" width="11.140625" style="379" customWidth="1"/>
    <col min="13073" max="13073" width="17.42578125" style="379" customWidth="1"/>
    <col min="13074" max="13074" width="15.7109375" style="379" customWidth="1"/>
    <col min="13075" max="13075" width="11.140625" style="379" customWidth="1"/>
    <col min="13076" max="13076" width="17.42578125" style="379" customWidth="1"/>
    <col min="13077" max="13077" width="15.7109375" style="379" customWidth="1"/>
    <col min="13078" max="13078" width="11.140625" style="379" customWidth="1"/>
    <col min="13079" max="13079" width="17.42578125" style="379" customWidth="1"/>
    <col min="13080" max="13080" width="15.7109375" style="379" customWidth="1"/>
    <col min="13081" max="13081" width="11.140625" style="379" customWidth="1"/>
    <col min="13082" max="13082" width="17.42578125" style="379" customWidth="1"/>
    <col min="13083" max="13083" width="15.7109375" style="379" customWidth="1"/>
    <col min="13084" max="13084" width="11.140625" style="379" customWidth="1"/>
    <col min="13085" max="13085" width="17.42578125" style="379" customWidth="1"/>
    <col min="13086" max="13086" width="15.7109375" style="379" customWidth="1"/>
    <col min="13087" max="13087" width="11.140625" style="379" customWidth="1"/>
    <col min="13088" max="13088" width="17.42578125" style="379" customWidth="1"/>
    <col min="13089" max="13089" width="15.7109375" style="379" customWidth="1"/>
    <col min="13090" max="13090" width="11.140625" style="379" customWidth="1"/>
    <col min="13091" max="13091" width="17.42578125" style="379" customWidth="1"/>
    <col min="13092" max="13092" width="15.7109375" style="379" customWidth="1"/>
    <col min="13093" max="13093" width="11.140625" style="379" customWidth="1"/>
    <col min="13094" max="13094" width="17.42578125" style="379" customWidth="1"/>
    <col min="13095" max="13095" width="15.7109375" style="379" customWidth="1"/>
    <col min="13096" max="13096" width="11.140625" style="379" customWidth="1"/>
    <col min="13097" max="13097" width="17.42578125" style="379" customWidth="1"/>
    <col min="13098" max="13098" width="15.7109375" style="379" customWidth="1"/>
    <col min="13099" max="13099" width="11.140625" style="379" customWidth="1"/>
    <col min="13100" max="13100" width="17.42578125" style="379" customWidth="1"/>
    <col min="13101" max="13101" width="15.7109375" style="379" customWidth="1"/>
    <col min="13102" max="13102" width="12.140625" style="379" bestFit="1" customWidth="1"/>
    <col min="13103" max="13103" width="17.42578125" style="379" customWidth="1"/>
    <col min="13104" max="13104" width="15.7109375" style="379" customWidth="1"/>
    <col min="13105" max="13105" width="10.28515625" style="379" customWidth="1"/>
    <col min="13106" max="13106" width="17.42578125" style="379" customWidth="1"/>
    <col min="13107" max="13107" width="15.7109375" style="379" customWidth="1"/>
    <col min="13108" max="13108" width="11.140625" style="379" customWidth="1"/>
    <col min="13109" max="13109" width="17.42578125" style="379" customWidth="1"/>
    <col min="13110" max="13110" width="15.7109375" style="379" customWidth="1"/>
    <col min="13111" max="13111" width="11.140625" style="379" customWidth="1"/>
    <col min="13112" max="13112" width="17.42578125" style="379" customWidth="1"/>
    <col min="13113" max="13113" width="15.7109375" style="379" customWidth="1"/>
    <col min="13114" max="13114" width="11.140625" style="379" customWidth="1"/>
    <col min="13115" max="13115" width="17.42578125" style="379" customWidth="1"/>
    <col min="13116" max="13116" width="15.7109375" style="379" customWidth="1"/>
    <col min="13117" max="13117" width="11.140625" style="379" customWidth="1"/>
    <col min="13118" max="13118" width="17.42578125" style="379" customWidth="1"/>
    <col min="13119" max="13119" width="13.42578125" style="379" customWidth="1"/>
    <col min="13120" max="13120" width="16.85546875" style="379" customWidth="1"/>
    <col min="13121" max="13121" width="12.7109375" style="379" customWidth="1"/>
    <col min="13122" max="13312" width="12.7109375" style="379"/>
    <col min="13313" max="13313" width="30.140625" style="379" customWidth="1"/>
    <col min="13314" max="13314" width="8.42578125" style="379" customWidth="1"/>
    <col min="13315" max="13315" width="15.7109375" style="379" customWidth="1"/>
    <col min="13316" max="13316" width="11.140625" style="379" customWidth="1"/>
    <col min="13317" max="13317" width="17.42578125" style="379" customWidth="1"/>
    <col min="13318" max="13318" width="15.7109375" style="379" customWidth="1"/>
    <col min="13319" max="13319" width="11.140625" style="379" customWidth="1"/>
    <col min="13320" max="13320" width="17.42578125" style="379" customWidth="1"/>
    <col min="13321" max="13321" width="15.7109375" style="379" customWidth="1"/>
    <col min="13322" max="13322" width="11.140625" style="379" customWidth="1"/>
    <col min="13323" max="13323" width="17.42578125" style="379" customWidth="1"/>
    <col min="13324" max="13324" width="15.7109375" style="379" customWidth="1"/>
    <col min="13325" max="13325" width="11.140625" style="379" customWidth="1"/>
    <col min="13326" max="13326" width="17.42578125" style="379" customWidth="1"/>
    <col min="13327" max="13327" width="15.7109375" style="379" customWidth="1"/>
    <col min="13328" max="13328" width="11.140625" style="379" customWidth="1"/>
    <col min="13329" max="13329" width="17.42578125" style="379" customWidth="1"/>
    <col min="13330" max="13330" width="15.7109375" style="379" customWidth="1"/>
    <col min="13331" max="13331" width="11.140625" style="379" customWidth="1"/>
    <col min="13332" max="13332" width="17.42578125" style="379" customWidth="1"/>
    <col min="13333" max="13333" width="15.7109375" style="379" customWidth="1"/>
    <col min="13334" max="13334" width="11.140625" style="379" customWidth="1"/>
    <col min="13335" max="13335" width="17.42578125" style="379" customWidth="1"/>
    <col min="13336" max="13336" width="15.7109375" style="379" customWidth="1"/>
    <col min="13337" max="13337" width="11.140625" style="379" customWidth="1"/>
    <col min="13338" max="13338" width="17.42578125" style="379" customWidth="1"/>
    <col min="13339" max="13339" width="15.7109375" style="379" customWidth="1"/>
    <col min="13340" max="13340" width="11.140625" style="379" customWidth="1"/>
    <col min="13341" max="13341" width="17.42578125" style="379" customWidth="1"/>
    <col min="13342" max="13342" width="15.7109375" style="379" customWidth="1"/>
    <col min="13343" max="13343" width="11.140625" style="379" customWidth="1"/>
    <col min="13344" max="13344" width="17.42578125" style="379" customWidth="1"/>
    <col min="13345" max="13345" width="15.7109375" style="379" customWidth="1"/>
    <col min="13346" max="13346" width="11.140625" style="379" customWidth="1"/>
    <col min="13347" max="13347" width="17.42578125" style="379" customWidth="1"/>
    <col min="13348" max="13348" width="15.7109375" style="379" customWidth="1"/>
    <col min="13349" max="13349" width="11.140625" style="379" customWidth="1"/>
    <col min="13350" max="13350" width="17.42578125" style="379" customWidth="1"/>
    <col min="13351" max="13351" width="15.7109375" style="379" customWidth="1"/>
    <col min="13352" max="13352" width="11.140625" style="379" customWidth="1"/>
    <col min="13353" max="13353" width="17.42578125" style="379" customWidth="1"/>
    <col min="13354" max="13354" width="15.7109375" style="379" customWidth="1"/>
    <col min="13355" max="13355" width="11.140625" style="379" customWidth="1"/>
    <col min="13356" max="13356" width="17.42578125" style="379" customWidth="1"/>
    <col min="13357" max="13357" width="15.7109375" style="379" customWidth="1"/>
    <col min="13358" max="13358" width="12.140625" style="379" bestFit="1" customWidth="1"/>
    <col min="13359" max="13359" width="17.42578125" style="379" customWidth="1"/>
    <col min="13360" max="13360" width="15.7109375" style="379" customWidth="1"/>
    <col min="13361" max="13361" width="10.28515625" style="379" customWidth="1"/>
    <col min="13362" max="13362" width="17.42578125" style="379" customWidth="1"/>
    <col min="13363" max="13363" width="15.7109375" style="379" customWidth="1"/>
    <col min="13364" max="13364" width="11.140625" style="379" customWidth="1"/>
    <col min="13365" max="13365" width="17.42578125" style="379" customWidth="1"/>
    <col min="13366" max="13366" width="15.7109375" style="379" customWidth="1"/>
    <col min="13367" max="13367" width="11.140625" style="379" customWidth="1"/>
    <col min="13368" max="13368" width="17.42578125" style="379" customWidth="1"/>
    <col min="13369" max="13369" width="15.7109375" style="379" customWidth="1"/>
    <col min="13370" max="13370" width="11.140625" style="379" customWidth="1"/>
    <col min="13371" max="13371" width="17.42578125" style="379" customWidth="1"/>
    <col min="13372" max="13372" width="15.7109375" style="379" customWidth="1"/>
    <col min="13373" max="13373" width="11.140625" style="379" customWidth="1"/>
    <col min="13374" max="13374" width="17.42578125" style="379" customWidth="1"/>
    <col min="13375" max="13375" width="13.42578125" style="379" customWidth="1"/>
    <col min="13376" max="13376" width="16.85546875" style="379" customWidth="1"/>
    <col min="13377" max="13377" width="12.7109375" style="379" customWidth="1"/>
    <col min="13378" max="13568" width="12.7109375" style="379"/>
    <col min="13569" max="13569" width="30.140625" style="379" customWidth="1"/>
    <col min="13570" max="13570" width="8.42578125" style="379" customWidth="1"/>
    <col min="13571" max="13571" width="15.7109375" style="379" customWidth="1"/>
    <col min="13572" max="13572" width="11.140625" style="379" customWidth="1"/>
    <col min="13573" max="13573" width="17.42578125" style="379" customWidth="1"/>
    <col min="13574" max="13574" width="15.7109375" style="379" customWidth="1"/>
    <col min="13575" max="13575" width="11.140625" style="379" customWidth="1"/>
    <col min="13576" max="13576" width="17.42578125" style="379" customWidth="1"/>
    <col min="13577" max="13577" width="15.7109375" style="379" customWidth="1"/>
    <col min="13578" max="13578" width="11.140625" style="379" customWidth="1"/>
    <col min="13579" max="13579" width="17.42578125" style="379" customWidth="1"/>
    <col min="13580" max="13580" width="15.7109375" style="379" customWidth="1"/>
    <col min="13581" max="13581" width="11.140625" style="379" customWidth="1"/>
    <col min="13582" max="13582" width="17.42578125" style="379" customWidth="1"/>
    <col min="13583" max="13583" width="15.7109375" style="379" customWidth="1"/>
    <col min="13584" max="13584" width="11.140625" style="379" customWidth="1"/>
    <col min="13585" max="13585" width="17.42578125" style="379" customWidth="1"/>
    <col min="13586" max="13586" width="15.7109375" style="379" customWidth="1"/>
    <col min="13587" max="13587" width="11.140625" style="379" customWidth="1"/>
    <col min="13588" max="13588" width="17.42578125" style="379" customWidth="1"/>
    <col min="13589" max="13589" width="15.7109375" style="379" customWidth="1"/>
    <col min="13590" max="13590" width="11.140625" style="379" customWidth="1"/>
    <col min="13591" max="13591" width="17.42578125" style="379" customWidth="1"/>
    <col min="13592" max="13592" width="15.7109375" style="379" customWidth="1"/>
    <col min="13593" max="13593" width="11.140625" style="379" customWidth="1"/>
    <col min="13594" max="13594" width="17.42578125" style="379" customWidth="1"/>
    <col min="13595" max="13595" width="15.7109375" style="379" customWidth="1"/>
    <col min="13596" max="13596" width="11.140625" style="379" customWidth="1"/>
    <col min="13597" max="13597" width="17.42578125" style="379" customWidth="1"/>
    <col min="13598" max="13598" width="15.7109375" style="379" customWidth="1"/>
    <col min="13599" max="13599" width="11.140625" style="379" customWidth="1"/>
    <col min="13600" max="13600" width="17.42578125" style="379" customWidth="1"/>
    <col min="13601" max="13601" width="15.7109375" style="379" customWidth="1"/>
    <col min="13602" max="13602" width="11.140625" style="379" customWidth="1"/>
    <col min="13603" max="13603" width="17.42578125" style="379" customWidth="1"/>
    <col min="13604" max="13604" width="15.7109375" style="379" customWidth="1"/>
    <col min="13605" max="13605" width="11.140625" style="379" customWidth="1"/>
    <col min="13606" max="13606" width="17.42578125" style="379" customWidth="1"/>
    <col min="13607" max="13607" width="15.7109375" style="379" customWidth="1"/>
    <col min="13608" max="13608" width="11.140625" style="379" customWidth="1"/>
    <col min="13609" max="13609" width="17.42578125" style="379" customWidth="1"/>
    <col min="13610" max="13610" width="15.7109375" style="379" customWidth="1"/>
    <col min="13611" max="13611" width="11.140625" style="379" customWidth="1"/>
    <col min="13612" max="13612" width="17.42578125" style="379" customWidth="1"/>
    <col min="13613" max="13613" width="15.7109375" style="379" customWidth="1"/>
    <col min="13614" max="13614" width="12.140625" style="379" bestFit="1" customWidth="1"/>
    <col min="13615" max="13615" width="17.42578125" style="379" customWidth="1"/>
    <col min="13616" max="13616" width="15.7109375" style="379" customWidth="1"/>
    <col min="13617" max="13617" width="10.28515625" style="379" customWidth="1"/>
    <col min="13618" max="13618" width="17.42578125" style="379" customWidth="1"/>
    <col min="13619" max="13619" width="15.7109375" style="379" customWidth="1"/>
    <col min="13620" max="13620" width="11.140625" style="379" customWidth="1"/>
    <col min="13621" max="13621" width="17.42578125" style="379" customWidth="1"/>
    <col min="13622" max="13622" width="15.7109375" style="379" customWidth="1"/>
    <col min="13623" max="13623" width="11.140625" style="379" customWidth="1"/>
    <col min="13624" max="13624" width="17.42578125" style="379" customWidth="1"/>
    <col min="13625" max="13625" width="15.7109375" style="379" customWidth="1"/>
    <col min="13626" max="13626" width="11.140625" style="379" customWidth="1"/>
    <col min="13627" max="13627" width="17.42578125" style="379" customWidth="1"/>
    <col min="13628" max="13628" width="15.7109375" style="379" customWidth="1"/>
    <col min="13629" max="13629" width="11.140625" style="379" customWidth="1"/>
    <col min="13630" max="13630" width="17.42578125" style="379" customWidth="1"/>
    <col min="13631" max="13631" width="13.42578125" style="379" customWidth="1"/>
    <col min="13632" max="13632" width="16.85546875" style="379" customWidth="1"/>
    <col min="13633" max="13633" width="12.7109375" style="379" customWidth="1"/>
    <col min="13634" max="13824" width="12.7109375" style="379"/>
    <col min="13825" max="13825" width="30.140625" style="379" customWidth="1"/>
    <col min="13826" max="13826" width="8.42578125" style="379" customWidth="1"/>
    <col min="13827" max="13827" width="15.7109375" style="379" customWidth="1"/>
    <col min="13828" max="13828" width="11.140625" style="379" customWidth="1"/>
    <col min="13829" max="13829" width="17.42578125" style="379" customWidth="1"/>
    <col min="13830" max="13830" width="15.7109375" style="379" customWidth="1"/>
    <col min="13831" max="13831" width="11.140625" style="379" customWidth="1"/>
    <col min="13832" max="13832" width="17.42578125" style="379" customWidth="1"/>
    <col min="13833" max="13833" width="15.7109375" style="379" customWidth="1"/>
    <col min="13834" max="13834" width="11.140625" style="379" customWidth="1"/>
    <col min="13835" max="13835" width="17.42578125" style="379" customWidth="1"/>
    <col min="13836" max="13836" width="15.7109375" style="379" customWidth="1"/>
    <col min="13837" max="13837" width="11.140625" style="379" customWidth="1"/>
    <col min="13838" max="13838" width="17.42578125" style="379" customWidth="1"/>
    <col min="13839" max="13839" width="15.7109375" style="379" customWidth="1"/>
    <col min="13840" max="13840" width="11.140625" style="379" customWidth="1"/>
    <col min="13841" max="13841" width="17.42578125" style="379" customWidth="1"/>
    <col min="13842" max="13842" width="15.7109375" style="379" customWidth="1"/>
    <col min="13843" max="13843" width="11.140625" style="379" customWidth="1"/>
    <col min="13844" max="13844" width="17.42578125" style="379" customWidth="1"/>
    <col min="13845" max="13845" width="15.7109375" style="379" customWidth="1"/>
    <col min="13846" max="13846" width="11.140625" style="379" customWidth="1"/>
    <col min="13847" max="13847" width="17.42578125" style="379" customWidth="1"/>
    <col min="13848" max="13848" width="15.7109375" style="379" customWidth="1"/>
    <col min="13849" max="13849" width="11.140625" style="379" customWidth="1"/>
    <col min="13850" max="13850" width="17.42578125" style="379" customWidth="1"/>
    <col min="13851" max="13851" width="15.7109375" style="379" customWidth="1"/>
    <col min="13852" max="13852" width="11.140625" style="379" customWidth="1"/>
    <col min="13853" max="13853" width="17.42578125" style="379" customWidth="1"/>
    <col min="13854" max="13854" width="15.7109375" style="379" customWidth="1"/>
    <col min="13855" max="13855" width="11.140625" style="379" customWidth="1"/>
    <col min="13856" max="13856" width="17.42578125" style="379" customWidth="1"/>
    <col min="13857" max="13857" width="15.7109375" style="379" customWidth="1"/>
    <col min="13858" max="13858" width="11.140625" style="379" customWidth="1"/>
    <col min="13859" max="13859" width="17.42578125" style="379" customWidth="1"/>
    <col min="13860" max="13860" width="15.7109375" style="379" customWidth="1"/>
    <col min="13861" max="13861" width="11.140625" style="379" customWidth="1"/>
    <col min="13862" max="13862" width="17.42578125" style="379" customWidth="1"/>
    <col min="13863" max="13863" width="15.7109375" style="379" customWidth="1"/>
    <col min="13864" max="13864" width="11.140625" style="379" customWidth="1"/>
    <col min="13865" max="13865" width="17.42578125" style="379" customWidth="1"/>
    <col min="13866" max="13866" width="15.7109375" style="379" customWidth="1"/>
    <col min="13867" max="13867" width="11.140625" style="379" customWidth="1"/>
    <col min="13868" max="13868" width="17.42578125" style="379" customWidth="1"/>
    <col min="13869" max="13869" width="15.7109375" style="379" customWidth="1"/>
    <col min="13870" max="13870" width="12.140625" style="379" bestFit="1" customWidth="1"/>
    <col min="13871" max="13871" width="17.42578125" style="379" customWidth="1"/>
    <col min="13872" max="13872" width="15.7109375" style="379" customWidth="1"/>
    <col min="13873" max="13873" width="10.28515625" style="379" customWidth="1"/>
    <col min="13874" max="13874" width="17.42578125" style="379" customWidth="1"/>
    <col min="13875" max="13875" width="15.7109375" style="379" customWidth="1"/>
    <col min="13876" max="13876" width="11.140625" style="379" customWidth="1"/>
    <col min="13877" max="13877" width="17.42578125" style="379" customWidth="1"/>
    <col min="13878" max="13878" width="15.7109375" style="379" customWidth="1"/>
    <col min="13879" max="13879" width="11.140625" style="379" customWidth="1"/>
    <col min="13880" max="13880" width="17.42578125" style="379" customWidth="1"/>
    <col min="13881" max="13881" width="15.7109375" style="379" customWidth="1"/>
    <col min="13882" max="13882" width="11.140625" style="379" customWidth="1"/>
    <col min="13883" max="13883" width="17.42578125" style="379" customWidth="1"/>
    <col min="13884" max="13884" width="15.7109375" style="379" customWidth="1"/>
    <col min="13885" max="13885" width="11.140625" style="379" customWidth="1"/>
    <col min="13886" max="13886" width="17.42578125" style="379" customWidth="1"/>
    <col min="13887" max="13887" width="13.42578125" style="379" customWidth="1"/>
    <col min="13888" max="13888" width="16.85546875" style="379" customWidth="1"/>
    <col min="13889" max="13889" width="12.7109375" style="379" customWidth="1"/>
    <col min="13890" max="14080" width="12.7109375" style="379"/>
    <col min="14081" max="14081" width="30.140625" style="379" customWidth="1"/>
    <col min="14082" max="14082" width="8.42578125" style="379" customWidth="1"/>
    <col min="14083" max="14083" width="15.7109375" style="379" customWidth="1"/>
    <col min="14084" max="14084" width="11.140625" style="379" customWidth="1"/>
    <col min="14085" max="14085" width="17.42578125" style="379" customWidth="1"/>
    <col min="14086" max="14086" width="15.7109375" style="379" customWidth="1"/>
    <col min="14087" max="14087" width="11.140625" style="379" customWidth="1"/>
    <col min="14088" max="14088" width="17.42578125" style="379" customWidth="1"/>
    <col min="14089" max="14089" width="15.7109375" style="379" customWidth="1"/>
    <col min="14090" max="14090" width="11.140625" style="379" customWidth="1"/>
    <col min="14091" max="14091" width="17.42578125" style="379" customWidth="1"/>
    <col min="14092" max="14092" width="15.7109375" style="379" customWidth="1"/>
    <col min="14093" max="14093" width="11.140625" style="379" customWidth="1"/>
    <col min="14094" max="14094" width="17.42578125" style="379" customWidth="1"/>
    <col min="14095" max="14095" width="15.7109375" style="379" customWidth="1"/>
    <col min="14096" max="14096" width="11.140625" style="379" customWidth="1"/>
    <col min="14097" max="14097" width="17.42578125" style="379" customWidth="1"/>
    <col min="14098" max="14098" width="15.7109375" style="379" customWidth="1"/>
    <col min="14099" max="14099" width="11.140625" style="379" customWidth="1"/>
    <col min="14100" max="14100" width="17.42578125" style="379" customWidth="1"/>
    <col min="14101" max="14101" width="15.7109375" style="379" customWidth="1"/>
    <col min="14102" max="14102" width="11.140625" style="379" customWidth="1"/>
    <col min="14103" max="14103" width="17.42578125" style="379" customWidth="1"/>
    <col min="14104" max="14104" width="15.7109375" style="379" customWidth="1"/>
    <col min="14105" max="14105" width="11.140625" style="379" customWidth="1"/>
    <col min="14106" max="14106" width="17.42578125" style="379" customWidth="1"/>
    <col min="14107" max="14107" width="15.7109375" style="379" customWidth="1"/>
    <col min="14108" max="14108" width="11.140625" style="379" customWidth="1"/>
    <col min="14109" max="14109" width="17.42578125" style="379" customWidth="1"/>
    <col min="14110" max="14110" width="15.7109375" style="379" customWidth="1"/>
    <col min="14111" max="14111" width="11.140625" style="379" customWidth="1"/>
    <col min="14112" max="14112" width="17.42578125" style="379" customWidth="1"/>
    <col min="14113" max="14113" width="15.7109375" style="379" customWidth="1"/>
    <col min="14114" max="14114" width="11.140625" style="379" customWidth="1"/>
    <col min="14115" max="14115" width="17.42578125" style="379" customWidth="1"/>
    <col min="14116" max="14116" width="15.7109375" style="379" customWidth="1"/>
    <col min="14117" max="14117" width="11.140625" style="379" customWidth="1"/>
    <col min="14118" max="14118" width="17.42578125" style="379" customWidth="1"/>
    <col min="14119" max="14119" width="15.7109375" style="379" customWidth="1"/>
    <col min="14120" max="14120" width="11.140625" style="379" customWidth="1"/>
    <col min="14121" max="14121" width="17.42578125" style="379" customWidth="1"/>
    <col min="14122" max="14122" width="15.7109375" style="379" customWidth="1"/>
    <col min="14123" max="14123" width="11.140625" style="379" customWidth="1"/>
    <col min="14124" max="14124" width="17.42578125" style="379" customWidth="1"/>
    <col min="14125" max="14125" width="15.7109375" style="379" customWidth="1"/>
    <col min="14126" max="14126" width="12.140625" style="379" bestFit="1" customWidth="1"/>
    <col min="14127" max="14127" width="17.42578125" style="379" customWidth="1"/>
    <col min="14128" max="14128" width="15.7109375" style="379" customWidth="1"/>
    <col min="14129" max="14129" width="10.28515625" style="379" customWidth="1"/>
    <col min="14130" max="14130" width="17.42578125" style="379" customWidth="1"/>
    <col min="14131" max="14131" width="15.7109375" style="379" customWidth="1"/>
    <col min="14132" max="14132" width="11.140625" style="379" customWidth="1"/>
    <col min="14133" max="14133" width="17.42578125" style="379" customWidth="1"/>
    <col min="14134" max="14134" width="15.7109375" style="379" customWidth="1"/>
    <col min="14135" max="14135" width="11.140625" style="379" customWidth="1"/>
    <col min="14136" max="14136" width="17.42578125" style="379" customWidth="1"/>
    <col min="14137" max="14137" width="15.7109375" style="379" customWidth="1"/>
    <col min="14138" max="14138" width="11.140625" style="379" customWidth="1"/>
    <col min="14139" max="14139" width="17.42578125" style="379" customWidth="1"/>
    <col min="14140" max="14140" width="15.7109375" style="379" customWidth="1"/>
    <col min="14141" max="14141" width="11.140625" style="379" customWidth="1"/>
    <col min="14142" max="14142" width="17.42578125" style="379" customWidth="1"/>
    <col min="14143" max="14143" width="13.42578125" style="379" customWidth="1"/>
    <col min="14144" max="14144" width="16.85546875" style="379" customWidth="1"/>
    <col min="14145" max="14145" width="12.7109375" style="379" customWidth="1"/>
    <col min="14146" max="14336" width="12.7109375" style="379"/>
    <col min="14337" max="14337" width="30.140625" style="379" customWidth="1"/>
    <col min="14338" max="14338" width="8.42578125" style="379" customWidth="1"/>
    <col min="14339" max="14339" width="15.7109375" style="379" customWidth="1"/>
    <col min="14340" max="14340" width="11.140625" style="379" customWidth="1"/>
    <col min="14341" max="14341" width="17.42578125" style="379" customWidth="1"/>
    <col min="14342" max="14342" width="15.7109375" style="379" customWidth="1"/>
    <col min="14343" max="14343" width="11.140625" style="379" customWidth="1"/>
    <col min="14344" max="14344" width="17.42578125" style="379" customWidth="1"/>
    <col min="14345" max="14345" width="15.7109375" style="379" customWidth="1"/>
    <col min="14346" max="14346" width="11.140625" style="379" customWidth="1"/>
    <col min="14347" max="14347" width="17.42578125" style="379" customWidth="1"/>
    <col min="14348" max="14348" width="15.7109375" style="379" customWidth="1"/>
    <col min="14349" max="14349" width="11.140625" style="379" customWidth="1"/>
    <col min="14350" max="14350" width="17.42578125" style="379" customWidth="1"/>
    <col min="14351" max="14351" width="15.7109375" style="379" customWidth="1"/>
    <col min="14352" max="14352" width="11.140625" style="379" customWidth="1"/>
    <col min="14353" max="14353" width="17.42578125" style="379" customWidth="1"/>
    <col min="14354" max="14354" width="15.7109375" style="379" customWidth="1"/>
    <col min="14355" max="14355" width="11.140625" style="379" customWidth="1"/>
    <col min="14356" max="14356" width="17.42578125" style="379" customWidth="1"/>
    <col min="14357" max="14357" width="15.7109375" style="379" customWidth="1"/>
    <col min="14358" max="14358" width="11.140625" style="379" customWidth="1"/>
    <col min="14359" max="14359" width="17.42578125" style="379" customWidth="1"/>
    <col min="14360" max="14360" width="15.7109375" style="379" customWidth="1"/>
    <col min="14361" max="14361" width="11.140625" style="379" customWidth="1"/>
    <col min="14362" max="14362" width="17.42578125" style="379" customWidth="1"/>
    <col min="14363" max="14363" width="15.7109375" style="379" customWidth="1"/>
    <col min="14364" max="14364" width="11.140625" style="379" customWidth="1"/>
    <col min="14365" max="14365" width="17.42578125" style="379" customWidth="1"/>
    <col min="14366" max="14366" width="15.7109375" style="379" customWidth="1"/>
    <col min="14367" max="14367" width="11.140625" style="379" customWidth="1"/>
    <col min="14368" max="14368" width="17.42578125" style="379" customWidth="1"/>
    <col min="14369" max="14369" width="15.7109375" style="379" customWidth="1"/>
    <col min="14370" max="14370" width="11.140625" style="379" customWidth="1"/>
    <col min="14371" max="14371" width="17.42578125" style="379" customWidth="1"/>
    <col min="14372" max="14372" width="15.7109375" style="379" customWidth="1"/>
    <col min="14373" max="14373" width="11.140625" style="379" customWidth="1"/>
    <col min="14374" max="14374" width="17.42578125" style="379" customWidth="1"/>
    <col min="14375" max="14375" width="15.7109375" style="379" customWidth="1"/>
    <col min="14376" max="14376" width="11.140625" style="379" customWidth="1"/>
    <col min="14377" max="14377" width="17.42578125" style="379" customWidth="1"/>
    <col min="14378" max="14378" width="15.7109375" style="379" customWidth="1"/>
    <col min="14379" max="14379" width="11.140625" style="379" customWidth="1"/>
    <col min="14380" max="14380" width="17.42578125" style="379" customWidth="1"/>
    <col min="14381" max="14381" width="15.7109375" style="379" customWidth="1"/>
    <col min="14382" max="14382" width="12.140625" style="379" bestFit="1" customWidth="1"/>
    <col min="14383" max="14383" width="17.42578125" style="379" customWidth="1"/>
    <col min="14384" max="14384" width="15.7109375" style="379" customWidth="1"/>
    <col min="14385" max="14385" width="10.28515625" style="379" customWidth="1"/>
    <col min="14386" max="14386" width="17.42578125" style="379" customWidth="1"/>
    <col min="14387" max="14387" width="15.7109375" style="379" customWidth="1"/>
    <col min="14388" max="14388" width="11.140625" style="379" customWidth="1"/>
    <col min="14389" max="14389" width="17.42578125" style="379" customWidth="1"/>
    <col min="14390" max="14390" width="15.7109375" style="379" customWidth="1"/>
    <col min="14391" max="14391" width="11.140625" style="379" customWidth="1"/>
    <col min="14392" max="14392" width="17.42578125" style="379" customWidth="1"/>
    <col min="14393" max="14393" width="15.7109375" style="379" customWidth="1"/>
    <col min="14394" max="14394" width="11.140625" style="379" customWidth="1"/>
    <col min="14395" max="14395" width="17.42578125" style="379" customWidth="1"/>
    <col min="14396" max="14396" width="15.7109375" style="379" customWidth="1"/>
    <col min="14397" max="14397" width="11.140625" style="379" customWidth="1"/>
    <col min="14398" max="14398" width="17.42578125" style="379" customWidth="1"/>
    <col min="14399" max="14399" width="13.42578125" style="379" customWidth="1"/>
    <col min="14400" max="14400" width="16.85546875" style="379" customWidth="1"/>
    <col min="14401" max="14401" width="12.7109375" style="379" customWidth="1"/>
    <col min="14402" max="14592" width="12.7109375" style="379"/>
    <col min="14593" max="14593" width="30.140625" style="379" customWidth="1"/>
    <col min="14594" max="14594" width="8.42578125" style="379" customWidth="1"/>
    <col min="14595" max="14595" width="15.7109375" style="379" customWidth="1"/>
    <col min="14596" max="14596" width="11.140625" style="379" customWidth="1"/>
    <col min="14597" max="14597" width="17.42578125" style="379" customWidth="1"/>
    <col min="14598" max="14598" width="15.7109375" style="379" customWidth="1"/>
    <col min="14599" max="14599" width="11.140625" style="379" customWidth="1"/>
    <col min="14600" max="14600" width="17.42578125" style="379" customWidth="1"/>
    <col min="14601" max="14601" width="15.7109375" style="379" customWidth="1"/>
    <col min="14602" max="14602" width="11.140625" style="379" customWidth="1"/>
    <col min="14603" max="14603" width="17.42578125" style="379" customWidth="1"/>
    <col min="14604" max="14604" width="15.7109375" style="379" customWidth="1"/>
    <col min="14605" max="14605" width="11.140625" style="379" customWidth="1"/>
    <col min="14606" max="14606" width="17.42578125" style="379" customWidth="1"/>
    <col min="14607" max="14607" width="15.7109375" style="379" customWidth="1"/>
    <col min="14608" max="14608" width="11.140625" style="379" customWidth="1"/>
    <col min="14609" max="14609" width="17.42578125" style="379" customWidth="1"/>
    <col min="14610" max="14610" width="15.7109375" style="379" customWidth="1"/>
    <col min="14611" max="14611" width="11.140625" style="379" customWidth="1"/>
    <col min="14612" max="14612" width="17.42578125" style="379" customWidth="1"/>
    <col min="14613" max="14613" width="15.7109375" style="379" customWidth="1"/>
    <col min="14614" max="14614" width="11.140625" style="379" customWidth="1"/>
    <col min="14615" max="14615" width="17.42578125" style="379" customWidth="1"/>
    <col min="14616" max="14616" width="15.7109375" style="379" customWidth="1"/>
    <col min="14617" max="14617" width="11.140625" style="379" customWidth="1"/>
    <col min="14618" max="14618" width="17.42578125" style="379" customWidth="1"/>
    <col min="14619" max="14619" width="15.7109375" style="379" customWidth="1"/>
    <col min="14620" max="14620" width="11.140625" style="379" customWidth="1"/>
    <col min="14621" max="14621" width="17.42578125" style="379" customWidth="1"/>
    <col min="14622" max="14622" width="15.7109375" style="379" customWidth="1"/>
    <col min="14623" max="14623" width="11.140625" style="379" customWidth="1"/>
    <col min="14624" max="14624" width="17.42578125" style="379" customWidth="1"/>
    <col min="14625" max="14625" width="15.7109375" style="379" customWidth="1"/>
    <col min="14626" max="14626" width="11.140625" style="379" customWidth="1"/>
    <col min="14627" max="14627" width="17.42578125" style="379" customWidth="1"/>
    <col min="14628" max="14628" width="15.7109375" style="379" customWidth="1"/>
    <col min="14629" max="14629" width="11.140625" style="379" customWidth="1"/>
    <col min="14630" max="14630" width="17.42578125" style="379" customWidth="1"/>
    <col min="14631" max="14631" width="15.7109375" style="379" customWidth="1"/>
    <col min="14632" max="14632" width="11.140625" style="379" customWidth="1"/>
    <col min="14633" max="14633" width="17.42578125" style="379" customWidth="1"/>
    <col min="14634" max="14634" width="15.7109375" style="379" customWidth="1"/>
    <col min="14635" max="14635" width="11.140625" style="379" customWidth="1"/>
    <col min="14636" max="14636" width="17.42578125" style="379" customWidth="1"/>
    <col min="14637" max="14637" width="15.7109375" style="379" customWidth="1"/>
    <col min="14638" max="14638" width="12.140625" style="379" bestFit="1" customWidth="1"/>
    <col min="14639" max="14639" width="17.42578125" style="379" customWidth="1"/>
    <col min="14640" max="14640" width="15.7109375" style="379" customWidth="1"/>
    <col min="14641" max="14641" width="10.28515625" style="379" customWidth="1"/>
    <col min="14642" max="14642" width="17.42578125" style="379" customWidth="1"/>
    <col min="14643" max="14643" width="15.7109375" style="379" customWidth="1"/>
    <col min="14644" max="14644" width="11.140625" style="379" customWidth="1"/>
    <col min="14645" max="14645" width="17.42578125" style="379" customWidth="1"/>
    <col min="14646" max="14646" width="15.7109375" style="379" customWidth="1"/>
    <col min="14647" max="14647" width="11.140625" style="379" customWidth="1"/>
    <col min="14648" max="14648" width="17.42578125" style="379" customWidth="1"/>
    <col min="14649" max="14649" width="15.7109375" style="379" customWidth="1"/>
    <col min="14650" max="14650" width="11.140625" style="379" customWidth="1"/>
    <col min="14651" max="14651" width="17.42578125" style="379" customWidth="1"/>
    <col min="14652" max="14652" width="15.7109375" style="379" customWidth="1"/>
    <col min="14653" max="14653" width="11.140625" style="379" customWidth="1"/>
    <col min="14654" max="14654" width="17.42578125" style="379" customWidth="1"/>
    <col min="14655" max="14655" width="13.42578125" style="379" customWidth="1"/>
    <col min="14656" max="14656" width="16.85546875" style="379" customWidth="1"/>
    <col min="14657" max="14657" width="12.7109375" style="379" customWidth="1"/>
    <col min="14658" max="14848" width="12.7109375" style="379"/>
    <col min="14849" max="14849" width="30.140625" style="379" customWidth="1"/>
    <col min="14850" max="14850" width="8.42578125" style="379" customWidth="1"/>
    <col min="14851" max="14851" width="15.7109375" style="379" customWidth="1"/>
    <col min="14852" max="14852" width="11.140625" style="379" customWidth="1"/>
    <col min="14853" max="14853" width="17.42578125" style="379" customWidth="1"/>
    <col min="14854" max="14854" width="15.7109375" style="379" customWidth="1"/>
    <col min="14855" max="14855" width="11.140625" style="379" customWidth="1"/>
    <col min="14856" max="14856" width="17.42578125" style="379" customWidth="1"/>
    <col min="14857" max="14857" width="15.7109375" style="379" customWidth="1"/>
    <col min="14858" max="14858" width="11.140625" style="379" customWidth="1"/>
    <col min="14859" max="14859" width="17.42578125" style="379" customWidth="1"/>
    <col min="14860" max="14860" width="15.7109375" style="379" customWidth="1"/>
    <col min="14861" max="14861" width="11.140625" style="379" customWidth="1"/>
    <col min="14862" max="14862" width="17.42578125" style="379" customWidth="1"/>
    <col min="14863" max="14863" width="15.7109375" style="379" customWidth="1"/>
    <col min="14864" max="14864" width="11.140625" style="379" customWidth="1"/>
    <col min="14865" max="14865" width="17.42578125" style="379" customWidth="1"/>
    <col min="14866" max="14866" width="15.7109375" style="379" customWidth="1"/>
    <col min="14867" max="14867" width="11.140625" style="379" customWidth="1"/>
    <col min="14868" max="14868" width="17.42578125" style="379" customWidth="1"/>
    <col min="14869" max="14869" width="15.7109375" style="379" customWidth="1"/>
    <col min="14870" max="14870" width="11.140625" style="379" customWidth="1"/>
    <col min="14871" max="14871" width="17.42578125" style="379" customWidth="1"/>
    <col min="14872" max="14872" width="15.7109375" style="379" customWidth="1"/>
    <col min="14873" max="14873" width="11.140625" style="379" customWidth="1"/>
    <col min="14874" max="14874" width="17.42578125" style="379" customWidth="1"/>
    <col min="14875" max="14875" width="15.7109375" style="379" customWidth="1"/>
    <col min="14876" max="14876" width="11.140625" style="379" customWidth="1"/>
    <col min="14877" max="14877" width="17.42578125" style="379" customWidth="1"/>
    <col min="14878" max="14878" width="15.7109375" style="379" customWidth="1"/>
    <col min="14879" max="14879" width="11.140625" style="379" customWidth="1"/>
    <col min="14880" max="14880" width="17.42578125" style="379" customWidth="1"/>
    <col min="14881" max="14881" width="15.7109375" style="379" customWidth="1"/>
    <col min="14882" max="14882" width="11.140625" style="379" customWidth="1"/>
    <col min="14883" max="14883" width="17.42578125" style="379" customWidth="1"/>
    <col min="14884" max="14884" width="15.7109375" style="379" customWidth="1"/>
    <col min="14885" max="14885" width="11.140625" style="379" customWidth="1"/>
    <col min="14886" max="14886" width="17.42578125" style="379" customWidth="1"/>
    <col min="14887" max="14887" width="15.7109375" style="379" customWidth="1"/>
    <col min="14888" max="14888" width="11.140625" style="379" customWidth="1"/>
    <col min="14889" max="14889" width="17.42578125" style="379" customWidth="1"/>
    <col min="14890" max="14890" width="15.7109375" style="379" customWidth="1"/>
    <col min="14891" max="14891" width="11.140625" style="379" customWidth="1"/>
    <col min="14892" max="14892" width="17.42578125" style="379" customWidth="1"/>
    <col min="14893" max="14893" width="15.7109375" style="379" customWidth="1"/>
    <col min="14894" max="14894" width="12.140625" style="379" bestFit="1" customWidth="1"/>
    <col min="14895" max="14895" width="17.42578125" style="379" customWidth="1"/>
    <col min="14896" max="14896" width="15.7109375" style="379" customWidth="1"/>
    <col min="14897" max="14897" width="10.28515625" style="379" customWidth="1"/>
    <col min="14898" max="14898" width="17.42578125" style="379" customWidth="1"/>
    <col min="14899" max="14899" width="15.7109375" style="379" customWidth="1"/>
    <col min="14900" max="14900" width="11.140625" style="379" customWidth="1"/>
    <col min="14901" max="14901" width="17.42578125" style="379" customWidth="1"/>
    <col min="14902" max="14902" width="15.7109375" style="379" customWidth="1"/>
    <col min="14903" max="14903" width="11.140625" style="379" customWidth="1"/>
    <col min="14904" max="14904" width="17.42578125" style="379" customWidth="1"/>
    <col min="14905" max="14905" width="15.7109375" style="379" customWidth="1"/>
    <col min="14906" max="14906" width="11.140625" style="379" customWidth="1"/>
    <col min="14907" max="14907" width="17.42578125" style="379" customWidth="1"/>
    <col min="14908" max="14908" width="15.7109375" style="379" customWidth="1"/>
    <col min="14909" max="14909" width="11.140625" style="379" customWidth="1"/>
    <col min="14910" max="14910" width="17.42578125" style="379" customWidth="1"/>
    <col min="14911" max="14911" width="13.42578125" style="379" customWidth="1"/>
    <col min="14912" max="14912" width="16.85546875" style="379" customWidth="1"/>
    <col min="14913" max="14913" width="12.7109375" style="379" customWidth="1"/>
    <col min="14914" max="15104" width="12.7109375" style="379"/>
    <col min="15105" max="15105" width="30.140625" style="379" customWidth="1"/>
    <col min="15106" max="15106" width="8.42578125" style="379" customWidth="1"/>
    <col min="15107" max="15107" width="15.7109375" style="379" customWidth="1"/>
    <col min="15108" max="15108" width="11.140625" style="379" customWidth="1"/>
    <col min="15109" max="15109" width="17.42578125" style="379" customWidth="1"/>
    <col min="15110" max="15110" width="15.7109375" style="379" customWidth="1"/>
    <col min="15111" max="15111" width="11.140625" style="379" customWidth="1"/>
    <col min="15112" max="15112" width="17.42578125" style="379" customWidth="1"/>
    <col min="15113" max="15113" width="15.7109375" style="379" customWidth="1"/>
    <col min="15114" max="15114" width="11.140625" style="379" customWidth="1"/>
    <col min="15115" max="15115" width="17.42578125" style="379" customWidth="1"/>
    <col min="15116" max="15116" width="15.7109375" style="379" customWidth="1"/>
    <col min="15117" max="15117" width="11.140625" style="379" customWidth="1"/>
    <col min="15118" max="15118" width="17.42578125" style="379" customWidth="1"/>
    <col min="15119" max="15119" width="15.7109375" style="379" customWidth="1"/>
    <col min="15120" max="15120" width="11.140625" style="379" customWidth="1"/>
    <col min="15121" max="15121" width="17.42578125" style="379" customWidth="1"/>
    <col min="15122" max="15122" width="15.7109375" style="379" customWidth="1"/>
    <col min="15123" max="15123" width="11.140625" style="379" customWidth="1"/>
    <col min="15124" max="15124" width="17.42578125" style="379" customWidth="1"/>
    <col min="15125" max="15125" width="15.7109375" style="379" customWidth="1"/>
    <col min="15126" max="15126" width="11.140625" style="379" customWidth="1"/>
    <col min="15127" max="15127" width="17.42578125" style="379" customWidth="1"/>
    <col min="15128" max="15128" width="15.7109375" style="379" customWidth="1"/>
    <col min="15129" max="15129" width="11.140625" style="379" customWidth="1"/>
    <col min="15130" max="15130" width="17.42578125" style="379" customWidth="1"/>
    <col min="15131" max="15131" width="15.7109375" style="379" customWidth="1"/>
    <col min="15132" max="15132" width="11.140625" style="379" customWidth="1"/>
    <col min="15133" max="15133" width="17.42578125" style="379" customWidth="1"/>
    <col min="15134" max="15134" width="15.7109375" style="379" customWidth="1"/>
    <col min="15135" max="15135" width="11.140625" style="379" customWidth="1"/>
    <col min="15136" max="15136" width="17.42578125" style="379" customWidth="1"/>
    <col min="15137" max="15137" width="15.7109375" style="379" customWidth="1"/>
    <col min="15138" max="15138" width="11.140625" style="379" customWidth="1"/>
    <col min="15139" max="15139" width="17.42578125" style="379" customWidth="1"/>
    <col min="15140" max="15140" width="15.7109375" style="379" customWidth="1"/>
    <col min="15141" max="15141" width="11.140625" style="379" customWidth="1"/>
    <col min="15142" max="15142" width="17.42578125" style="379" customWidth="1"/>
    <col min="15143" max="15143" width="15.7109375" style="379" customWidth="1"/>
    <col min="15144" max="15144" width="11.140625" style="379" customWidth="1"/>
    <col min="15145" max="15145" width="17.42578125" style="379" customWidth="1"/>
    <col min="15146" max="15146" width="15.7109375" style="379" customWidth="1"/>
    <col min="15147" max="15147" width="11.140625" style="379" customWidth="1"/>
    <col min="15148" max="15148" width="17.42578125" style="379" customWidth="1"/>
    <col min="15149" max="15149" width="15.7109375" style="379" customWidth="1"/>
    <col min="15150" max="15150" width="12.140625" style="379" bestFit="1" customWidth="1"/>
    <col min="15151" max="15151" width="17.42578125" style="379" customWidth="1"/>
    <col min="15152" max="15152" width="15.7109375" style="379" customWidth="1"/>
    <col min="15153" max="15153" width="10.28515625" style="379" customWidth="1"/>
    <col min="15154" max="15154" width="17.42578125" style="379" customWidth="1"/>
    <col min="15155" max="15155" width="15.7109375" style="379" customWidth="1"/>
    <col min="15156" max="15156" width="11.140625" style="379" customWidth="1"/>
    <col min="15157" max="15157" width="17.42578125" style="379" customWidth="1"/>
    <col min="15158" max="15158" width="15.7109375" style="379" customWidth="1"/>
    <col min="15159" max="15159" width="11.140625" style="379" customWidth="1"/>
    <col min="15160" max="15160" width="17.42578125" style="379" customWidth="1"/>
    <col min="15161" max="15161" width="15.7109375" style="379" customWidth="1"/>
    <col min="15162" max="15162" width="11.140625" style="379" customWidth="1"/>
    <col min="15163" max="15163" width="17.42578125" style="379" customWidth="1"/>
    <col min="15164" max="15164" width="15.7109375" style="379" customWidth="1"/>
    <col min="15165" max="15165" width="11.140625" style="379" customWidth="1"/>
    <col min="15166" max="15166" width="17.42578125" style="379" customWidth="1"/>
    <col min="15167" max="15167" width="13.42578125" style="379" customWidth="1"/>
    <col min="15168" max="15168" width="16.85546875" style="379" customWidth="1"/>
    <col min="15169" max="15169" width="12.7109375" style="379" customWidth="1"/>
    <col min="15170" max="15360" width="12.7109375" style="379"/>
    <col min="15361" max="15361" width="30.140625" style="379" customWidth="1"/>
    <col min="15362" max="15362" width="8.42578125" style="379" customWidth="1"/>
    <col min="15363" max="15363" width="15.7109375" style="379" customWidth="1"/>
    <col min="15364" max="15364" width="11.140625" style="379" customWidth="1"/>
    <col min="15365" max="15365" width="17.42578125" style="379" customWidth="1"/>
    <col min="15366" max="15366" width="15.7109375" style="379" customWidth="1"/>
    <col min="15367" max="15367" width="11.140625" style="379" customWidth="1"/>
    <col min="15368" max="15368" width="17.42578125" style="379" customWidth="1"/>
    <col min="15369" max="15369" width="15.7109375" style="379" customWidth="1"/>
    <col min="15370" max="15370" width="11.140625" style="379" customWidth="1"/>
    <col min="15371" max="15371" width="17.42578125" style="379" customWidth="1"/>
    <col min="15372" max="15372" width="15.7109375" style="379" customWidth="1"/>
    <col min="15373" max="15373" width="11.140625" style="379" customWidth="1"/>
    <col min="15374" max="15374" width="17.42578125" style="379" customWidth="1"/>
    <col min="15375" max="15375" width="15.7109375" style="379" customWidth="1"/>
    <col min="15376" max="15376" width="11.140625" style="379" customWidth="1"/>
    <col min="15377" max="15377" width="17.42578125" style="379" customWidth="1"/>
    <col min="15378" max="15378" width="15.7109375" style="379" customWidth="1"/>
    <col min="15379" max="15379" width="11.140625" style="379" customWidth="1"/>
    <col min="15380" max="15380" width="17.42578125" style="379" customWidth="1"/>
    <col min="15381" max="15381" width="15.7109375" style="379" customWidth="1"/>
    <col min="15382" max="15382" width="11.140625" style="379" customWidth="1"/>
    <col min="15383" max="15383" width="17.42578125" style="379" customWidth="1"/>
    <col min="15384" max="15384" width="15.7109375" style="379" customWidth="1"/>
    <col min="15385" max="15385" width="11.140625" style="379" customWidth="1"/>
    <col min="15386" max="15386" width="17.42578125" style="379" customWidth="1"/>
    <col min="15387" max="15387" width="15.7109375" style="379" customWidth="1"/>
    <col min="15388" max="15388" width="11.140625" style="379" customWidth="1"/>
    <col min="15389" max="15389" width="17.42578125" style="379" customWidth="1"/>
    <col min="15390" max="15390" width="15.7109375" style="379" customWidth="1"/>
    <col min="15391" max="15391" width="11.140625" style="379" customWidth="1"/>
    <col min="15392" max="15392" width="17.42578125" style="379" customWidth="1"/>
    <col min="15393" max="15393" width="15.7109375" style="379" customWidth="1"/>
    <col min="15394" max="15394" width="11.140625" style="379" customWidth="1"/>
    <col min="15395" max="15395" width="17.42578125" style="379" customWidth="1"/>
    <col min="15396" max="15396" width="15.7109375" style="379" customWidth="1"/>
    <col min="15397" max="15397" width="11.140625" style="379" customWidth="1"/>
    <col min="15398" max="15398" width="17.42578125" style="379" customWidth="1"/>
    <col min="15399" max="15399" width="15.7109375" style="379" customWidth="1"/>
    <col min="15400" max="15400" width="11.140625" style="379" customWidth="1"/>
    <col min="15401" max="15401" width="17.42578125" style="379" customWidth="1"/>
    <col min="15402" max="15402" width="15.7109375" style="379" customWidth="1"/>
    <col min="15403" max="15403" width="11.140625" style="379" customWidth="1"/>
    <col min="15404" max="15404" width="17.42578125" style="379" customWidth="1"/>
    <col min="15405" max="15405" width="15.7109375" style="379" customWidth="1"/>
    <col min="15406" max="15406" width="12.140625" style="379" bestFit="1" customWidth="1"/>
    <col min="15407" max="15407" width="17.42578125" style="379" customWidth="1"/>
    <col min="15408" max="15408" width="15.7109375" style="379" customWidth="1"/>
    <col min="15409" max="15409" width="10.28515625" style="379" customWidth="1"/>
    <col min="15410" max="15410" width="17.42578125" style="379" customWidth="1"/>
    <col min="15411" max="15411" width="15.7109375" style="379" customWidth="1"/>
    <col min="15412" max="15412" width="11.140625" style="379" customWidth="1"/>
    <col min="15413" max="15413" width="17.42578125" style="379" customWidth="1"/>
    <col min="15414" max="15414" width="15.7109375" style="379" customWidth="1"/>
    <col min="15415" max="15415" width="11.140625" style="379" customWidth="1"/>
    <col min="15416" max="15416" width="17.42578125" style="379" customWidth="1"/>
    <col min="15417" max="15417" width="15.7109375" style="379" customWidth="1"/>
    <col min="15418" max="15418" width="11.140625" style="379" customWidth="1"/>
    <col min="15419" max="15419" width="17.42578125" style="379" customWidth="1"/>
    <col min="15420" max="15420" width="15.7109375" style="379" customWidth="1"/>
    <col min="15421" max="15421" width="11.140625" style="379" customWidth="1"/>
    <col min="15422" max="15422" width="17.42578125" style="379" customWidth="1"/>
    <col min="15423" max="15423" width="13.42578125" style="379" customWidth="1"/>
    <col min="15424" max="15424" width="16.85546875" style="379" customWidth="1"/>
    <col min="15425" max="15425" width="12.7109375" style="379" customWidth="1"/>
    <col min="15426" max="15616" width="12.7109375" style="379"/>
    <col min="15617" max="15617" width="30.140625" style="379" customWidth="1"/>
    <col min="15618" max="15618" width="8.42578125" style="379" customWidth="1"/>
    <col min="15619" max="15619" width="15.7109375" style="379" customWidth="1"/>
    <col min="15620" max="15620" width="11.140625" style="379" customWidth="1"/>
    <col min="15621" max="15621" width="17.42578125" style="379" customWidth="1"/>
    <col min="15622" max="15622" width="15.7109375" style="379" customWidth="1"/>
    <col min="15623" max="15623" width="11.140625" style="379" customWidth="1"/>
    <col min="15624" max="15624" width="17.42578125" style="379" customWidth="1"/>
    <col min="15625" max="15625" width="15.7109375" style="379" customWidth="1"/>
    <col min="15626" max="15626" width="11.140625" style="379" customWidth="1"/>
    <col min="15627" max="15627" width="17.42578125" style="379" customWidth="1"/>
    <col min="15628" max="15628" width="15.7109375" style="379" customWidth="1"/>
    <col min="15629" max="15629" width="11.140625" style="379" customWidth="1"/>
    <col min="15630" max="15630" width="17.42578125" style="379" customWidth="1"/>
    <col min="15631" max="15631" width="15.7109375" style="379" customWidth="1"/>
    <col min="15632" max="15632" width="11.140625" style="379" customWidth="1"/>
    <col min="15633" max="15633" width="17.42578125" style="379" customWidth="1"/>
    <col min="15634" max="15634" width="15.7109375" style="379" customWidth="1"/>
    <col min="15635" max="15635" width="11.140625" style="379" customWidth="1"/>
    <col min="15636" max="15636" width="17.42578125" style="379" customWidth="1"/>
    <col min="15637" max="15637" width="15.7109375" style="379" customWidth="1"/>
    <col min="15638" max="15638" width="11.140625" style="379" customWidth="1"/>
    <col min="15639" max="15639" width="17.42578125" style="379" customWidth="1"/>
    <col min="15640" max="15640" width="15.7109375" style="379" customWidth="1"/>
    <col min="15641" max="15641" width="11.140625" style="379" customWidth="1"/>
    <col min="15642" max="15642" width="17.42578125" style="379" customWidth="1"/>
    <col min="15643" max="15643" width="15.7109375" style="379" customWidth="1"/>
    <col min="15644" max="15644" width="11.140625" style="379" customWidth="1"/>
    <col min="15645" max="15645" width="17.42578125" style="379" customWidth="1"/>
    <col min="15646" max="15646" width="15.7109375" style="379" customWidth="1"/>
    <col min="15647" max="15647" width="11.140625" style="379" customWidth="1"/>
    <col min="15648" max="15648" width="17.42578125" style="379" customWidth="1"/>
    <col min="15649" max="15649" width="15.7109375" style="379" customWidth="1"/>
    <col min="15650" max="15650" width="11.140625" style="379" customWidth="1"/>
    <col min="15651" max="15651" width="17.42578125" style="379" customWidth="1"/>
    <col min="15652" max="15652" width="15.7109375" style="379" customWidth="1"/>
    <col min="15653" max="15653" width="11.140625" style="379" customWidth="1"/>
    <col min="15654" max="15654" width="17.42578125" style="379" customWidth="1"/>
    <col min="15655" max="15655" width="15.7109375" style="379" customWidth="1"/>
    <col min="15656" max="15656" width="11.140625" style="379" customWidth="1"/>
    <col min="15657" max="15657" width="17.42578125" style="379" customWidth="1"/>
    <col min="15658" max="15658" width="15.7109375" style="379" customWidth="1"/>
    <col min="15659" max="15659" width="11.140625" style="379" customWidth="1"/>
    <col min="15660" max="15660" width="17.42578125" style="379" customWidth="1"/>
    <col min="15661" max="15661" width="15.7109375" style="379" customWidth="1"/>
    <col min="15662" max="15662" width="12.140625" style="379" bestFit="1" customWidth="1"/>
    <col min="15663" max="15663" width="17.42578125" style="379" customWidth="1"/>
    <col min="15664" max="15664" width="15.7109375" style="379" customWidth="1"/>
    <col min="15665" max="15665" width="10.28515625" style="379" customWidth="1"/>
    <col min="15666" max="15666" width="17.42578125" style="379" customWidth="1"/>
    <col min="15667" max="15667" width="15.7109375" style="379" customWidth="1"/>
    <col min="15668" max="15668" width="11.140625" style="379" customWidth="1"/>
    <col min="15669" max="15669" width="17.42578125" style="379" customWidth="1"/>
    <col min="15670" max="15670" width="15.7109375" style="379" customWidth="1"/>
    <col min="15671" max="15671" width="11.140625" style="379" customWidth="1"/>
    <col min="15672" max="15672" width="17.42578125" style="379" customWidth="1"/>
    <col min="15673" max="15673" width="15.7109375" style="379" customWidth="1"/>
    <col min="15674" max="15674" width="11.140625" style="379" customWidth="1"/>
    <col min="15675" max="15675" width="17.42578125" style="379" customWidth="1"/>
    <col min="15676" max="15676" width="15.7109375" style="379" customWidth="1"/>
    <col min="15677" max="15677" width="11.140625" style="379" customWidth="1"/>
    <col min="15678" max="15678" width="17.42578125" style="379" customWidth="1"/>
    <col min="15679" max="15679" width="13.42578125" style="379" customWidth="1"/>
    <col min="15680" max="15680" width="16.85546875" style="379" customWidth="1"/>
    <col min="15681" max="15681" width="12.7109375" style="379" customWidth="1"/>
    <col min="15682" max="15872" width="12.7109375" style="379"/>
    <col min="15873" max="15873" width="30.140625" style="379" customWidth="1"/>
    <col min="15874" max="15874" width="8.42578125" style="379" customWidth="1"/>
    <col min="15875" max="15875" width="15.7109375" style="379" customWidth="1"/>
    <col min="15876" max="15876" width="11.140625" style="379" customWidth="1"/>
    <col min="15877" max="15877" width="17.42578125" style="379" customWidth="1"/>
    <col min="15878" max="15878" width="15.7109375" style="379" customWidth="1"/>
    <col min="15879" max="15879" width="11.140625" style="379" customWidth="1"/>
    <col min="15880" max="15880" width="17.42578125" style="379" customWidth="1"/>
    <col min="15881" max="15881" width="15.7109375" style="379" customWidth="1"/>
    <col min="15882" max="15882" width="11.140625" style="379" customWidth="1"/>
    <col min="15883" max="15883" width="17.42578125" style="379" customWidth="1"/>
    <col min="15884" max="15884" width="15.7109375" style="379" customWidth="1"/>
    <col min="15885" max="15885" width="11.140625" style="379" customWidth="1"/>
    <col min="15886" max="15886" width="17.42578125" style="379" customWidth="1"/>
    <col min="15887" max="15887" width="15.7109375" style="379" customWidth="1"/>
    <col min="15888" max="15888" width="11.140625" style="379" customWidth="1"/>
    <col min="15889" max="15889" width="17.42578125" style="379" customWidth="1"/>
    <col min="15890" max="15890" width="15.7109375" style="379" customWidth="1"/>
    <col min="15891" max="15891" width="11.140625" style="379" customWidth="1"/>
    <col min="15892" max="15892" width="17.42578125" style="379" customWidth="1"/>
    <col min="15893" max="15893" width="15.7109375" style="379" customWidth="1"/>
    <col min="15894" max="15894" width="11.140625" style="379" customWidth="1"/>
    <col min="15895" max="15895" width="17.42578125" style="379" customWidth="1"/>
    <col min="15896" max="15896" width="15.7109375" style="379" customWidth="1"/>
    <col min="15897" max="15897" width="11.140625" style="379" customWidth="1"/>
    <col min="15898" max="15898" width="17.42578125" style="379" customWidth="1"/>
    <col min="15899" max="15899" width="15.7109375" style="379" customWidth="1"/>
    <col min="15900" max="15900" width="11.140625" style="379" customWidth="1"/>
    <col min="15901" max="15901" width="17.42578125" style="379" customWidth="1"/>
    <col min="15902" max="15902" width="15.7109375" style="379" customWidth="1"/>
    <col min="15903" max="15903" width="11.140625" style="379" customWidth="1"/>
    <col min="15904" max="15904" width="17.42578125" style="379" customWidth="1"/>
    <col min="15905" max="15905" width="15.7109375" style="379" customWidth="1"/>
    <col min="15906" max="15906" width="11.140625" style="379" customWidth="1"/>
    <col min="15907" max="15907" width="17.42578125" style="379" customWidth="1"/>
    <col min="15908" max="15908" width="15.7109375" style="379" customWidth="1"/>
    <col min="15909" max="15909" width="11.140625" style="379" customWidth="1"/>
    <col min="15910" max="15910" width="17.42578125" style="379" customWidth="1"/>
    <col min="15911" max="15911" width="15.7109375" style="379" customWidth="1"/>
    <col min="15912" max="15912" width="11.140625" style="379" customWidth="1"/>
    <col min="15913" max="15913" width="17.42578125" style="379" customWidth="1"/>
    <col min="15914" max="15914" width="15.7109375" style="379" customWidth="1"/>
    <col min="15915" max="15915" width="11.140625" style="379" customWidth="1"/>
    <col min="15916" max="15916" width="17.42578125" style="379" customWidth="1"/>
    <col min="15917" max="15917" width="15.7109375" style="379" customWidth="1"/>
    <col min="15918" max="15918" width="12.140625" style="379" bestFit="1" customWidth="1"/>
    <col min="15919" max="15919" width="17.42578125" style="379" customWidth="1"/>
    <col min="15920" max="15920" width="15.7109375" style="379" customWidth="1"/>
    <col min="15921" max="15921" width="10.28515625" style="379" customWidth="1"/>
    <col min="15922" max="15922" width="17.42578125" style="379" customWidth="1"/>
    <col min="15923" max="15923" width="15.7109375" style="379" customWidth="1"/>
    <col min="15924" max="15924" width="11.140625" style="379" customWidth="1"/>
    <col min="15925" max="15925" width="17.42578125" style="379" customWidth="1"/>
    <col min="15926" max="15926" width="15.7109375" style="379" customWidth="1"/>
    <col min="15927" max="15927" width="11.140625" style="379" customWidth="1"/>
    <col min="15928" max="15928" width="17.42578125" style="379" customWidth="1"/>
    <col min="15929" max="15929" width="15.7109375" style="379" customWidth="1"/>
    <col min="15930" max="15930" width="11.140625" style="379" customWidth="1"/>
    <col min="15931" max="15931" width="17.42578125" style="379" customWidth="1"/>
    <col min="15932" max="15932" width="15.7109375" style="379" customWidth="1"/>
    <col min="15933" max="15933" width="11.140625" style="379" customWidth="1"/>
    <col min="15934" max="15934" width="17.42578125" style="379" customWidth="1"/>
    <col min="15935" max="15935" width="13.42578125" style="379" customWidth="1"/>
    <col min="15936" max="15936" width="16.85546875" style="379" customWidth="1"/>
    <col min="15937" max="15937" width="12.7109375" style="379" customWidth="1"/>
    <col min="15938" max="16128" width="12.7109375" style="379"/>
    <col min="16129" max="16129" width="30.140625" style="379" customWidth="1"/>
    <col min="16130" max="16130" width="8.42578125" style="379" customWidth="1"/>
    <col min="16131" max="16131" width="15.7109375" style="379" customWidth="1"/>
    <col min="16132" max="16132" width="11.140625" style="379" customWidth="1"/>
    <col min="16133" max="16133" width="17.42578125" style="379" customWidth="1"/>
    <col min="16134" max="16134" width="15.7109375" style="379" customWidth="1"/>
    <col min="16135" max="16135" width="11.140625" style="379" customWidth="1"/>
    <col min="16136" max="16136" width="17.42578125" style="379" customWidth="1"/>
    <col min="16137" max="16137" width="15.7109375" style="379" customWidth="1"/>
    <col min="16138" max="16138" width="11.140625" style="379" customWidth="1"/>
    <col min="16139" max="16139" width="17.42578125" style="379" customWidth="1"/>
    <col min="16140" max="16140" width="15.7109375" style="379" customWidth="1"/>
    <col min="16141" max="16141" width="11.140625" style="379" customWidth="1"/>
    <col min="16142" max="16142" width="17.42578125" style="379" customWidth="1"/>
    <col min="16143" max="16143" width="15.7109375" style="379" customWidth="1"/>
    <col min="16144" max="16144" width="11.140625" style="379" customWidth="1"/>
    <col min="16145" max="16145" width="17.42578125" style="379" customWidth="1"/>
    <col min="16146" max="16146" width="15.7109375" style="379" customWidth="1"/>
    <col min="16147" max="16147" width="11.140625" style="379" customWidth="1"/>
    <col min="16148" max="16148" width="17.42578125" style="379" customWidth="1"/>
    <col min="16149" max="16149" width="15.7109375" style="379" customWidth="1"/>
    <col min="16150" max="16150" width="11.140625" style="379" customWidth="1"/>
    <col min="16151" max="16151" width="17.42578125" style="379" customWidth="1"/>
    <col min="16152" max="16152" width="15.7109375" style="379" customWidth="1"/>
    <col min="16153" max="16153" width="11.140625" style="379" customWidth="1"/>
    <col min="16154" max="16154" width="17.42578125" style="379" customWidth="1"/>
    <col min="16155" max="16155" width="15.7109375" style="379" customWidth="1"/>
    <col min="16156" max="16156" width="11.140625" style="379" customWidth="1"/>
    <col min="16157" max="16157" width="17.42578125" style="379" customWidth="1"/>
    <col min="16158" max="16158" width="15.7109375" style="379" customWidth="1"/>
    <col min="16159" max="16159" width="11.140625" style="379" customWidth="1"/>
    <col min="16160" max="16160" width="17.42578125" style="379" customWidth="1"/>
    <col min="16161" max="16161" width="15.7109375" style="379" customWidth="1"/>
    <col min="16162" max="16162" width="11.140625" style="379" customWidth="1"/>
    <col min="16163" max="16163" width="17.42578125" style="379" customWidth="1"/>
    <col min="16164" max="16164" width="15.7109375" style="379" customWidth="1"/>
    <col min="16165" max="16165" width="11.140625" style="379" customWidth="1"/>
    <col min="16166" max="16166" width="17.42578125" style="379" customWidth="1"/>
    <col min="16167" max="16167" width="15.7109375" style="379" customWidth="1"/>
    <col min="16168" max="16168" width="11.140625" style="379" customWidth="1"/>
    <col min="16169" max="16169" width="17.42578125" style="379" customWidth="1"/>
    <col min="16170" max="16170" width="15.7109375" style="379" customWidth="1"/>
    <col min="16171" max="16171" width="11.140625" style="379" customWidth="1"/>
    <col min="16172" max="16172" width="17.42578125" style="379" customWidth="1"/>
    <col min="16173" max="16173" width="15.7109375" style="379" customWidth="1"/>
    <col min="16174" max="16174" width="12.140625" style="379" bestFit="1" customWidth="1"/>
    <col min="16175" max="16175" width="17.42578125" style="379" customWidth="1"/>
    <col min="16176" max="16176" width="15.7109375" style="379" customWidth="1"/>
    <col min="16177" max="16177" width="10.28515625" style="379" customWidth="1"/>
    <col min="16178" max="16178" width="17.42578125" style="379" customWidth="1"/>
    <col min="16179" max="16179" width="15.7109375" style="379" customWidth="1"/>
    <col min="16180" max="16180" width="11.140625" style="379" customWidth="1"/>
    <col min="16181" max="16181" width="17.42578125" style="379" customWidth="1"/>
    <col min="16182" max="16182" width="15.7109375" style="379" customWidth="1"/>
    <col min="16183" max="16183" width="11.140625" style="379" customWidth="1"/>
    <col min="16184" max="16184" width="17.42578125" style="379" customWidth="1"/>
    <col min="16185" max="16185" width="15.7109375" style="379" customWidth="1"/>
    <col min="16186" max="16186" width="11.140625" style="379" customWidth="1"/>
    <col min="16187" max="16187" width="17.42578125" style="379" customWidth="1"/>
    <col min="16188" max="16188" width="15.7109375" style="379" customWidth="1"/>
    <col min="16189" max="16189" width="11.140625" style="379" customWidth="1"/>
    <col min="16190" max="16190" width="17.42578125" style="379" customWidth="1"/>
    <col min="16191" max="16191" width="13.42578125" style="379" customWidth="1"/>
    <col min="16192" max="16192" width="16.85546875" style="379" customWidth="1"/>
    <col min="16193" max="16193" width="12.7109375" style="379" customWidth="1"/>
    <col min="16194" max="16384" width="12.7109375" style="379"/>
  </cols>
  <sheetData>
    <row r="1" spans="1:63" ht="15.75" x14ac:dyDescent="0.25">
      <c r="A1" s="378" t="s">
        <v>891</v>
      </c>
      <c r="AV1" s="380"/>
      <c r="AX1" s="380"/>
      <c r="AY1" s="381"/>
    </row>
    <row r="2" spans="1:63" ht="18.75" x14ac:dyDescent="0.3">
      <c r="B2" s="382"/>
      <c r="I2" s="383"/>
      <c r="K2" s="384"/>
      <c r="L2" s="385"/>
      <c r="AR2" s="385"/>
      <c r="AX2" s="380"/>
      <c r="AY2" s="380"/>
    </row>
    <row r="3" spans="1:63" ht="18.75" x14ac:dyDescent="0.3">
      <c r="A3" s="378" t="s">
        <v>892</v>
      </c>
      <c r="B3" s="378"/>
      <c r="C3" s="382"/>
      <c r="D3" s="382"/>
      <c r="E3" s="382"/>
      <c r="F3" s="382"/>
      <c r="G3" s="382"/>
      <c r="H3" s="382"/>
      <c r="I3" s="386"/>
      <c r="J3" s="382"/>
      <c r="K3" s="382"/>
      <c r="L3" s="382"/>
      <c r="M3" s="382"/>
      <c r="N3" s="382"/>
      <c r="O3" s="387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8"/>
      <c r="AJ3" s="382"/>
      <c r="AK3" s="382"/>
      <c r="AL3" s="382"/>
      <c r="AM3" s="382"/>
      <c r="AN3" s="382"/>
      <c r="AO3" s="382"/>
      <c r="AP3" s="382"/>
      <c r="AQ3" s="382"/>
      <c r="AR3" s="389"/>
      <c r="AS3" s="382"/>
      <c r="AT3" s="382"/>
      <c r="AU3" s="382"/>
      <c r="AV3" s="390"/>
      <c r="AW3" s="391"/>
      <c r="AX3" s="392"/>
      <c r="AY3" s="392"/>
      <c r="AZ3" s="382"/>
      <c r="BA3" s="392"/>
      <c r="BB3" s="382"/>
      <c r="BC3" s="382"/>
      <c r="BD3" s="382"/>
      <c r="BE3" s="382"/>
      <c r="BF3" s="382"/>
      <c r="BG3" s="382"/>
      <c r="BH3" s="382"/>
      <c r="BI3" s="382"/>
      <c r="BJ3" s="382"/>
    </row>
    <row r="4" spans="1:63" ht="15.75" x14ac:dyDescent="0.25">
      <c r="A4" s="393" t="s">
        <v>893</v>
      </c>
      <c r="E4" s="394"/>
      <c r="H4" s="394"/>
      <c r="K4" s="394"/>
      <c r="N4" s="394"/>
      <c r="Q4" s="394"/>
      <c r="T4" s="394"/>
      <c r="W4" s="394"/>
      <c r="Z4" s="394"/>
      <c r="AC4" s="394"/>
      <c r="AF4" s="394"/>
      <c r="AI4" s="394"/>
      <c r="AL4" s="394"/>
      <c r="AO4" s="394"/>
      <c r="AR4" s="394"/>
      <c r="AU4" s="394"/>
      <c r="AX4" s="394"/>
      <c r="BA4" s="394"/>
      <c r="BD4" s="394"/>
      <c r="BG4" s="394"/>
      <c r="BJ4" s="394"/>
    </row>
    <row r="5" spans="1:63" s="395" customFormat="1" ht="15" customHeight="1" x14ac:dyDescent="0.25">
      <c r="E5" s="396">
        <f>E8-'[1]01'!C72</f>
        <v>0</v>
      </c>
      <c r="H5" s="396">
        <f>H8-'[1]02'!C90</f>
        <v>0</v>
      </c>
      <c r="K5" s="396">
        <f>K8-'[1]03'!C99</f>
        <v>0</v>
      </c>
      <c r="N5" s="396"/>
      <c r="Q5" s="396">
        <f>Q8-'[1]04'!C101</f>
        <v>0</v>
      </c>
      <c r="T5" s="396">
        <f>T8-'[1]05'!C105</f>
        <v>0</v>
      </c>
      <c r="W5" s="396">
        <f>W8-'[1]06'!C106</f>
        <v>0</v>
      </c>
      <c r="Z5" s="396"/>
      <c r="AC5" s="396"/>
      <c r="AF5" s="396"/>
      <c r="AI5" s="396"/>
      <c r="AL5" s="396"/>
      <c r="AO5" s="396"/>
      <c r="AR5" s="396"/>
      <c r="AU5" s="396"/>
      <c r="AX5" s="396"/>
      <c r="BA5" s="396"/>
      <c r="BD5" s="396"/>
      <c r="BG5" s="396"/>
      <c r="BJ5" s="396"/>
    </row>
    <row r="6" spans="1:63" s="395" customFormat="1" x14ac:dyDescent="0.25">
      <c r="A6" s="492" t="s">
        <v>328</v>
      </c>
      <c r="B6" s="495" t="s">
        <v>894</v>
      </c>
      <c r="C6" s="485" t="s">
        <v>895</v>
      </c>
      <c r="D6" s="486"/>
      <c r="E6" s="487"/>
      <c r="F6" s="485" t="s">
        <v>896</v>
      </c>
      <c r="G6" s="486"/>
      <c r="H6" s="487"/>
      <c r="I6" s="485" t="s">
        <v>897</v>
      </c>
      <c r="J6" s="486"/>
      <c r="K6" s="487"/>
      <c r="L6" s="485" t="s">
        <v>898</v>
      </c>
      <c r="M6" s="486"/>
      <c r="N6" s="487"/>
      <c r="O6" s="485" t="s">
        <v>899</v>
      </c>
      <c r="P6" s="486"/>
      <c r="Q6" s="487"/>
      <c r="R6" s="485" t="s">
        <v>900</v>
      </c>
      <c r="S6" s="486"/>
      <c r="T6" s="487"/>
      <c r="U6" s="485" t="s">
        <v>901</v>
      </c>
      <c r="V6" s="486"/>
      <c r="W6" s="487"/>
      <c r="X6" s="485" t="s">
        <v>902</v>
      </c>
      <c r="Y6" s="486"/>
      <c r="Z6" s="487"/>
      <c r="AA6" s="485" t="s">
        <v>903</v>
      </c>
      <c r="AB6" s="486"/>
      <c r="AC6" s="487"/>
      <c r="AD6" s="485" t="s">
        <v>904</v>
      </c>
      <c r="AE6" s="486"/>
      <c r="AF6" s="487"/>
      <c r="AG6" s="485" t="s">
        <v>905</v>
      </c>
      <c r="AH6" s="486"/>
      <c r="AI6" s="487"/>
      <c r="AJ6" s="485" t="s">
        <v>906</v>
      </c>
      <c r="AK6" s="486"/>
      <c r="AL6" s="487"/>
      <c r="AM6" s="485" t="s">
        <v>907</v>
      </c>
      <c r="AN6" s="486"/>
      <c r="AO6" s="487"/>
      <c r="AP6" s="485" t="s">
        <v>908</v>
      </c>
      <c r="AQ6" s="486"/>
      <c r="AR6" s="487"/>
      <c r="AS6" s="485" t="s">
        <v>909</v>
      </c>
      <c r="AT6" s="486"/>
      <c r="AU6" s="487"/>
      <c r="AV6" s="485" t="s">
        <v>910</v>
      </c>
      <c r="AW6" s="486"/>
      <c r="AX6" s="487"/>
      <c r="AY6" s="485" t="s">
        <v>911</v>
      </c>
      <c r="AZ6" s="486"/>
      <c r="BA6" s="487"/>
      <c r="BB6" s="485" t="s">
        <v>912</v>
      </c>
      <c r="BC6" s="486"/>
      <c r="BD6" s="487"/>
      <c r="BE6" s="489" t="s">
        <v>913</v>
      </c>
      <c r="BF6" s="490"/>
      <c r="BG6" s="491"/>
      <c r="BH6" s="485" t="s">
        <v>769</v>
      </c>
      <c r="BI6" s="486"/>
      <c r="BJ6" s="487"/>
    </row>
    <row r="7" spans="1:63" s="395" customFormat="1" ht="25.5" x14ac:dyDescent="0.25">
      <c r="A7" s="493"/>
      <c r="B7" s="496"/>
      <c r="C7" s="397" t="s">
        <v>914</v>
      </c>
      <c r="D7" s="397" t="s">
        <v>915</v>
      </c>
      <c r="E7" s="398" t="s">
        <v>916</v>
      </c>
      <c r="F7" s="397" t="s">
        <v>914</v>
      </c>
      <c r="G7" s="397" t="s">
        <v>915</v>
      </c>
      <c r="H7" s="398" t="s">
        <v>916</v>
      </c>
      <c r="I7" s="397" t="s">
        <v>914</v>
      </c>
      <c r="J7" s="397" t="s">
        <v>915</v>
      </c>
      <c r="K7" s="398" t="s">
        <v>916</v>
      </c>
      <c r="L7" s="397" t="s">
        <v>914</v>
      </c>
      <c r="M7" s="397" t="s">
        <v>915</v>
      </c>
      <c r="N7" s="398" t="s">
        <v>916</v>
      </c>
      <c r="O7" s="397" t="s">
        <v>914</v>
      </c>
      <c r="P7" s="397" t="s">
        <v>915</v>
      </c>
      <c r="Q7" s="398" t="s">
        <v>916</v>
      </c>
      <c r="R7" s="397" t="s">
        <v>914</v>
      </c>
      <c r="S7" s="397" t="s">
        <v>915</v>
      </c>
      <c r="T7" s="398" t="s">
        <v>916</v>
      </c>
      <c r="U7" s="397" t="s">
        <v>914</v>
      </c>
      <c r="V7" s="397" t="s">
        <v>915</v>
      </c>
      <c r="W7" s="398" t="s">
        <v>916</v>
      </c>
      <c r="X7" s="397" t="s">
        <v>914</v>
      </c>
      <c r="Y7" s="397" t="s">
        <v>915</v>
      </c>
      <c r="Z7" s="398" t="s">
        <v>916</v>
      </c>
      <c r="AA7" s="397" t="s">
        <v>914</v>
      </c>
      <c r="AB7" s="397" t="s">
        <v>915</v>
      </c>
      <c r="AC7" s="398" t="s">
        <v>916</v>
      </c>
      <c r="AD7" s="397" t="s">
        <v>914</v>
      </c>
      <c r="AE7" s="397" t="s">
        <v>915</v>
      </c>
      <c r="AF7" s="398" t="s">
        <v>916</v>
      </c>
      <c r="AG7" s="397" t="s">
        <v>914</v>
      </c>
      <c r="AH7" s="397" t="s">
        <v>915</v>
      </c>
      <c r="AI7" s="398" t="s">
        <v>916</v>
      </c>
      <c r="AJ7" s="397" t="s">
        <v>914</v>
      </c>
      <c r="AK7" s="397" t="s">
        <v>915</v>
      </c>
      <c r="AL7" s="398" t="s">
        <v>916</v>
      </c>
      <c r="AM7" s="397" t="s">
        <v>914</v>
      </c>
      <c r="AN7" s="397" t="s">
        <v>915</v>
      </c>
      <c r="AO7" s="398" t="s">
        <v>916</v>
      </c>
      <c r="AP7" s="397" t="s">
        <v>914</v>
      </c>
      <c r="AQ7" s="397" t="s">
        <v>915</v>
      </c>
      <c r="AR7" s="398" t="s">
        <v>916</v>
      </c>
      <c r="AS7" s="397" t="s">
        <v>914</v>
      </c>
      <c r="AT7" s="397" t="s">
        <v>915</v>
      </c>
      <c r="AU7" s="398" t="s">
        <v>916</v>
      </c>
      <c r="AV7" s="397" t="s">
        <v>914</v>
      </c>
      <c r="AW7" s="397" t="s">
        <v>915</v>
      </c>
      <c r="AX7" s="398" t="s">
        <v>916</v>
      </c>
      <c r="AY7" s="397" t="s">
        <v>914</v>
      </c>
      <c r="AZ7" s="397" t="s">
        <v>915</v>
      </c>
      <c r="BA7" s="398" t="s">
        <v>916</v>
      </c>
      <c r="BB7" s="397" t="s">
        <v>914</v>
      </c>
      <c r="BC7" s="397" t="s">
        <v>915</v>
      </c>
      <c r="BD7" s="398" t="s">
        <v>916</v>
      </c>
      <c r="BE7" s="431" t="s">
        <v>914</v>
      </c>
      <c r="BF7" s="431" t="s">
        <v>915</v>
      </c>
      <c r="BG7" s="432" t="s">
        <v>916</v>
      </c>
      <c r="BH7" s="397" t="s">
        <v>914</v>
      </c>
      <c r="BI7" s="397" t="s">
        <v>915</v>
      </c>
      <c r="BJ7" s="398" t="s">
        <v>916</v>
      </c>
    </row>
    <row r="8" spans="1:63" s="402" customFormat="1" x14ac:dyDescent="0.2">
      <c r="A8" s="494"/>
      <c r="B8" s="497"/>
      <c r="C8" s="399"/>
      <c r="D8" s="400"/>
      <c r="E8" s="401">
        <f>SUM(E9:E17)-E15</f>
        <v>5042133500.1400003</v>
      </c>
      <c r="F8" s="399"/>
      <c r="G8" s="400"/>
      <c r="H8" s="401">
        <f>SUM(H9:H17)-H15</f>
        <v>4568466125.3800001</v>
      </c>
      <c r="I8" s="399"/>
      <c r="J8" s="400"/>
      <c r="K8" s="401">
        <f>SUM(K9:K17)-K15</f>
        <v>4327792822.96</v>
      </c>
      <c r="L8" s="399"/>
      <c r="M8" s="400"/>
      <c r="N8" s="401">
        <f>SUM(N9:N17)-N15</f>
        <v>13938392448.48</v>
      </c>
      <c r="O8" s="399"/>
      <c r="P8" s="400"/>
      <c r="Q8" s="401">
        <f>SUM(Q9:Q17)-Q15</f>
        <v>3832410075.8299999</v>
      </c>
      <c r="R8" s="399"/>
      <c r="S8" s="400"/>
      <c r="T8" s="401">
        <f>SUM(T9:T17)-T15</f>
        <v>3508561474.6199999</v>
      </c>
      <c r="U8" s="399"/>
      <c r="V8" s="400"/>
      <c r="W8" s="401">
        <f>SUM(W9:W17)-W15</f>
        <v>4307239256.3800001</v>
      </c>
      <c r="X8" s="399"/>
      <c r="Y8" s="400"/>
      <c r="Z8" s="401">
        <f>SUM(Z9:Z17)-Z15</f>
        <v>11648210806.83</v>
      </c>
      <c r="AA8" s="399"/>
      <c r="AB8" s="400"/>
      <c r="AC8" s="401">
        <f>SUM(AC9:AC17)-AC15</f>
        <v>25586603255.310001</v>
      </c>
      <c r="AD8" s="399"/>
      <c r="AE8" s="400"/>
      <c r="AF8" s="401">
        <f>SUM(AF9:AF17)-AF15</f>
        <v>4525616556.5</v>
      </c>
      <c r="AG8" s="399"/>
      <c r="AH8" s="400"/>
      <c r="AI8" s="401">
        <f>SUM(AI9:AI17)-AI15</f>
        <v>4268053113.9000001</v>
      </c>
      <c r="AJ8" s="399"/>
      <c r="AK8" s="400"/>
      <c r="AL8" s="401">
        <f>SUM(AL9:AL17)-AL15</f>
        <v>3741168372.9000001</v>
      </c>
      <c r="AM8" s="399"/>
      <c r="AN8" s="400"/>
      <c r="AO8" s="401">
        <f>SUM(AO9:AO17)-AO15</f>
        <v>12534838043.299999</v>
      </c>
      <c r="AP8" s="399"/>
      <c r="AQ8" s="400"/>
      <c r="AR8" s="401">
        <f>SUM(AR9:AR15)</f>
        <v>38121441298.610001</v>
      </c>
      <c r="AS8" s="399"/>
      <c r="AT8" s="400"/>
      <c r="AU8" s="401">
        <f>SUM(AU9:AU17)-AU15</f>
        <v>4117646251.8899999</v>
      </c>
      <c r="AV8" s="399"/>
      <c r="AW8" s="400"/>
      <c r="AX8" s="401">
        <f>SUM(AX9:AX17)-AX15</f>
        <v>5014086022.8500004</v>
      </c>
      <c r="AY8" s="399"/>
      <c r="AZ8" s="400"/>
      <c r="BA8" s="401">
        <f>SUM(BA9:BA17)-BA15</f>
        <v>5609624802.2700005</v>
      </c>
      <c r="BB8" s="399"/>
      <c r="BC8" s="400"/>
      <c r="BD8" s="401">
        <f>SUM(BD9:BD17)-BD15</f>
        <v>14741357077.01</v>
      </c>
      <c r="BE8" s="433"/>
      <c r="BF8" s="434"/>
      <c r="BG8" s="435"/>
      <c r="BH8" s="399"/>
      <c r="BI8" s="400"/>
      <c r="BJ8" s="401">
        <f>SUM(BJ9:BJ17)-BJ15</f>
        <v>52862798375.620003</v>
      </c>
    </row>
    <row r="9" spans="1:63" x14ac:dyDescent="0.2">
      <c r="A9" s="403" t="s">
        <v>917</v>
      </c>
      <c r="B9" s="398" t="s">
        <v>918</v>
      </c>
      <c r="C9" s="404">
        <f>'[1]01'!B10</f>
        <v>382580676</v>
      </c>
      <c r="D9" s="405">
        <f>E9/C9</f>
        <v>11.667400000000001</v>
      </c>
      <c r="E9" s="406">
        <f>'[1]01'!C10</f>
        <v>4463738034.1800003</v>
      </c>
      <c r="F9" s="404">
        <f>'[1]02'!B14</f>
        <v>345839017</v>
      </c>
      <c r="G9" s="405">
        <f t="shared" ref="G9:G17" si="0">H9/F9</f>
        <v>11.6913</v>
      </c>
      <c r="H9" s="406">
        <f>'[1]02'!C14</f>
        <v>4043317448.46</v>
      </c>
      <c r="I9" s="404">
        <f>'[1]03'!B20</f>
        <v>330017516</v>
      </c>
      <c r="J9" s="405">
        <f t="shared" ref="J9:J17" si="1">K9/I9</f>
        <v>11.6387</v>
      </c>
      <c r="K9" s="406">
        <f>'[1]03'!C20</f>
        <v>3840966277.3600001</v>
      </c>
      <c r="L9" s="404">
        <f t="shared" ref="L9:L14" si="2">C9+F9+I9</f>
        <v>1058437209</v>
      </c>
      <c r="M9" s="405">
        <f t="shared" ref="M9:M17" si="3">N9/L9</f>
        <v>11.6663</v>
      </c>
      <c r="N9" s="406">
        <f t="shared" ref="N9:N14" si="4">E9+H9+K9</f>
        <v>12348021760</v>
      </c>
      <c r="O9" s="404">
        <f>'[1]04'!B20</f>
        <v>292461089</v>
      </c>
      <c r="P9" s="405">
        <f t="shared" ref="P9:P17" si="5">Q9/O9</f>
        <v>11.639699999999999</v>
      </c>
      <c r="Q9" s="406">
        <f>'[1]04'!C20</f>
        <v>3404150334.2600002</v>
      </c>
      <c r="R9" s="404">
        <f>'[1]05'!B22</f>
        <v>278537068</v>
      </c>
      <c r="S9" s="405">
        <f t="shared" ref="S9:S17" si="6">T9/R9</f>
        <v>11.639699999999999</v>
      </c>
      <c r="T9" s="406">
        <f>'[1]05'!C22</f>
        <v>3242097657</v>
      </c>
      <c r="U9" s="404">
        <f>'[1]06'!B22</f>
        <v>343723797</v>
      </c>
      <c r="V9" s="405">
        <f t="shared" ref="V9:V17" si="7">W9/U9</f>
        <v>11.639699999999999</v>
      </c>
      <c r="W9" s="406">
        <f>'[1]06'!C22</f>
        <v>4000833592.3400002</v>
      </c>
      <c r="X9" s="404">
        <f t="shared" ref="X9:X14" si="8">O9+R9+U9</f>
        <v>914721954</v>
      </c>
      <c r="Y9" s="405">
        <f t="shared" ref="Y9:Y17" si="9">Z9/X9</f>
        <v>11.639699999999999</v>
      </c>
      <c r="Z9" s="406">
        <f t="shared" ref="Z9:Z14" si="10">Q9+T9+W9</f>
        <v>10647081583.6</v>
      </c>
      <c r="AA9" s="404">
        <f t="shared" ref="AA9:AA14" si="11">C9+F9+I9+O9+R9+U9</f>
        <v>1973159163</v>
      </c>
      <c r="AB9" s="405">
        <f>AC9/AA9</f>
        <v>11.654</v>
      </c>
      <c r="AC9" s="406">
        <f t="shared" ref="AC9:AC14" si="12">E9+H9+K9+Q9+T9+W9</f>
        <v>22995103343.599998</v>
      </c>
      <c r="AD9" s="404">
        <f>'[1]07'!B22</f>
        <v>359915431</v>
      </c>
      <c r="AE9" s="405">
        <f>AF9/AD9</f>
        <v>11.6395</v>
      </c>
      <c r="AF9" s="406">
        <f>'[1]07'!C22</f>
        <v>4189243219.5799999</v>
      </c>
      <c r="AG9" s="404">
        <f>'[1]08'!B23</f>
        <v>338446081</v>
      </c>
      <c r="AH9" s="405">
        <f>AI9/AG9</f>
        <v>11.639799999999999</v>
      </c>
      <c r="AI9" s="406">
        <f>'[1]08'!C23</f>
        <v>3939429434.5100002</v>
      </c>
      <c r="AJ9" s="404">
        <f>'[1]09'!B24</f>
        <v>298059070</v>
      </c>
      <c r="AK9" s="405">
        <f>AL9/AJ9</f>
        <v>11.639900000000001</v>
      </c>
      <c r="AL9" s="406">
        <f>'[1]09'!C24</f>
        <v>3469377831.29</v>
      </c>
      <c r="AM9" s="404">
        <f t="shared" ref="AM9:AM14" si="13">AD9+AG9+AJ9</f>
        <v>996420582</v>
      </c>
      <c r="AN9" s="405">
        <f t="shared" ref="AN9:AN17" si="14">AO9/AM9</f>
        <v>11.639699999999999</v>
      </c>
      <c r="AO9" s="406">
        <f t="shared" ref="AO9:AO14" si="15">AF9+AI9+AL9</f>
        <v>11598050485.379999</v>
      </c>
      <c r="AP9" s="404">
        <f>AA9+AD9+AG9+AJ9</f>
        <v>2969579745</v>
      </c>
      <c r="AQ9" s="405">
        <f t="shared" ref="AQ9:AQ17" si="16">AR9/AP9</f>
        <v>11.6492</v>
      </c>
      <c r="AR9" s="406">
        <f>AC9+AF9+AI9+AL9</f>
        <v>34593153828.980003</v>
      </c>
      <c r="AS9" s="404">
        <f>'[1]10'!B24</f>
        <v>325310960</v>
      </c>
      <c r="AT9" s="405">
        <f>AU9/AS9</f>
        <v>11.617599999999999</v>
      </c>
      <c r="AU9" s="406">
        <f>'[1]10'!C24</f>
        <v>3779322136.4000001</v>
      </c>
      <c r="AV9" s="404">
        <f>'[1]11'!B25</f>
        <v>367840392</v>
      </c>
      <c r="AW9" s="405">
        <f t="shared" ref="AW9:AW17" si="17">AX9/AV9</f>
        <v>12.116300000000001</v>
      </c>
      <c r="AX9" s="406">
        <f>'[1]11'!C25</f>
        <v>4456849869.2200003</v>
      </c>
      <c r="AY9" s="404">
        <f>'[1]12'!B25</f>
        <v>415741877</v>
      </c>
      <c r="AZ9" s="405">
        <f t="shared" ref="AZ9:AZ17" si="18">BA9/AY9</f>
        <v>12.119899999999999</v>
      </c>
      <c r="BA9" s="406">
        <f>'[1]12'!C25</f>
        <v>5038755370.5699997</v>
      </c>
      <c r="BB9" s="404">
        <f t="shared" ref="BB9:BB14" si="19">AS9+AV9+AY9</f>
        <v>1108893229</v>
      </c>
      <c r="BC9" s="405">
        <f t="shared" ref="BC9:BC17" si="20">BD9/BB9</f>
        <v>11.971299999999999</v>
      </c>
      <c r="BD9" s="406">
        <f t="shared" ref="BD9:BD14" si="21">AU9+AX9+BA9</f>
        <v>13274927376.190001</v>
      </c>
      <c r="BE9" s="436">
        <f>AD9+AG9+AJ9+AS9+AV9+AY9</f>
        <v>2105313811</v>
      </c>
      <c r="BF9" s="437">
        <f t="shared" ref="BF9:BF17" si="22">BG9/BE9</f>
        <v>11.814399999999999</v>
      </c>
      <c r="BG9" s="438">
        <f>AF9+AI9+AL9+AU9+AX9+BA9</f>
        <v>24872977861.57</v>
      </c>
      <c r="BH9" s="404">
        <f t="shared" ref="BH9:BH14" si="23">AA9+AD9+AG9+AJ9+AS9+AV9+AY9</f>
        <v>4078472974</v>
      </c>
      <c r="BI9" s="405">
        <f>BJ9/BH9</f>
        <v>11.736800000000001</v>
      </c>
      <c r="BJ9" s="406">
        <f t="shared" ref="BJ9:BJ14" si="24">AC9+AF9+AI9+AL9+AU9+AX9+BA9</f>
        <v>47868081205.169998</v>
      </c>
      <c r="BK9" s="407">
        <f>BJ9/1000</f>
        <v>47868081.210000001</v>
      </c>
    </row>
    <row r="10" spans="1:63" x14ac:dyDescent="0.2">
      <c r="A10" s="403" t="s">
        <v>919</v>
      </c>
      <c r="B10" s="398" t="s">
        <v>920</v>
      </c>
      <c r="C10" s="404">
        <f>'[1]01'!B14+'[1]01'!B38</f>
        <v>164884</v>
      </c>
      <c r="D10" s="405">
        <f t="shared" ref="D10:D17" si="25">E10/C10</f>
        <v>2120.8791000000001</v>
      </c>
      <c r="E10" s="406">
        <f>'[1]01'!C38+'[1]01'!C14</f>
        <v>349699033.80000001</v>
      </c>
      <c r="F10" s="404">
        <f>'[1]02'!B18+'[1]02'!B55</f>
        <v>145038</v>
      </c>
      <c r="G10" s="405">
        <f t="shared" si="0"/>
        <v>2141.3503999999998</v>
      </c>
      <c r="H10" s="406">
        <f>'[1]02'!C18+'[1]02'!C55</f>
        <v>310577182.07999998</v>
      </c>
      <c r="I10" s="404">
        <f>'[1]03'!B24+'[1]03'!B62</f>
        <v>129466</v>
      </c>
      <c r="J10" s="405">
        <f t="shared" si="1"/>
        <v>2174.3645999999999</v>
      </c>
      <c r="K10" s="406">
        <f>'[1]03'!C24+'[1]03'!C62</f>
        <v>281506285.10000002</v>
      </c>
      <c r="L10" s="404">
        <f t="shared" si="2"/>
        <v>439388</v>
      </c>
      <c r="M10" s="405">
        <f t="shared" si="3"/>
        <v>2143.3960000000002</v>
      </c>
      <c r="N10" s="406">
        <f>E10+H10+K10</f>
        <v>941782500.98000002</v>
      </c>
      <c r="O10" s="404">
        <f>'[1]04'!B24+'[1]04'!B63</f>
        <v>88935</v>
      </c>
      <c r="P10" s="405">
        <f t="shared" si="5"/>
        <v>2348.7721000000001</v>
      </c>
      <c r="Q10" s="406">
        <f>'[1]04'!C24+'[1]04'!C63</f>
        <v>208888047.75999999</v>
      </c>
      <c r="R10" s="404">
        <f>'[1]05'!B26+'[1]05'!B66</f>
        <v>20527</v>
      </c>
      <c r="S10" s="405">
        <f t="shared" si="6"/>
        <v>1108.2820999999999</v>
      </c>
      <c r="T10" s="406">
        <f>'[1]05'!C26+'[1]05'!C66</f>
        <v>22749705.809999999</v>
      </c>
      <c r="U10" s="404">
        <f>'[1]06'!B27+'[1]06'!B67</f>
        <v>15083</v>
      </c>
      <c r="V10" s="405">
        <f t="shared" si="7"/>
        <v>911.15110000000004</v>
      </c>
      <c r="W10" s="406">
        <f>'[1]06'!C27+'[1]06'!C67</f>
        <v>13742892.220000001</v>
      </c>
      <c r="X10" s="404">
        <f t="shared" si="8"/>
        <v>124545</v>
      </c>
      <c r="Y10" s="405">
        <f t="shared" si="9"/>
        <v>1970.2167999999999</v>
      </c>
      <c r="Z10" s="406">
        <f t="shared" si="10"/>
        <v>245380645.78999999</v>
      </c>
      <c r="AA10" s="404">
        <f t="shared" si="11"/>
        <v>563933</v>
      </c>
      <c r="AB10" s="405">
        <f>AC10/AA10</f>
        <v>2105.1493</v>
      </c>
      <c r="AC10" s="406">
        <f t="shared" si="12"/>
        <v>1187163146.77</v>
      </c>
      <c r="AD10" s="404">
        <f>'[1]07'!B27+'[1]07'!B67</f>
        <v>12747</v>
      </c>
      <c r="AE10" s="405">
        <f>AF10/AD10</f>
        <v>1765.7130999999999</v>
      </c>
      <c r="AF10" s="406">
        <f>'[1]07'!C67+'[1]07'!C27</f>
        <v>22507544.449999999</v>
      </c>
      <c r="AG10" s="404">
        <f>'[1]08'!B28+'[1]08'!B68</f>
        <v>10343</v>
      </c>
      <c r="AH10" s="405">
        <f t="shared" ref="AH10:AH17" si="26">AI10/AG10</f>
        <v>1884.8689999999999</v>
      </c>
      <c r="AI10" s="406">
        <f>'[1]08'!C68+'[1]08'!C28</f>
        <v>19495199.600000001</v>
      </c>
      <c r="AJ10" s="404">
        <f>'[1]09'!B29+'[1]09'!B69</f>
        <v>9082</v>
      </c>
      <c r="AK10" s="405">
        <f t="shared" ref="AK10:AK17" si="27">AL10/AJ10</f>
        <v>1760.9992</v>
      </c>
      <c r="AL10" s="406">
        <f>'[1]09'!C69+'[1]09'!C29</f>
        <v>15993395.039999999</v>
      </c>
      <c r="AM10" s="404">
        <f t="shared" si="13"/>
        <v>32172</v>
      </c>
      <c r="AN10" s="405">
        <f t="shared" si="14"/>
        <v>1802.6899000000001</v>
      </c>
      <c r="AO10" s="406">
        <f t="shared" si="15"/>
        <v>57996139.090000004</v>
      </c>
      <c r="AP10" s="404">
        <f t="shared" ref="AP10:AP17" si="28">AA10+AD10+AG10+AJ10</f>
        <v>596105</v>
      </c>
      <c r="AQ10" s="405">
        <f t="shared" si="16"/>
        <v>2088.8254000000002</v>
      </c>
      <c r="AR10" s="406">
        <f t="shared" ref="AR10:AR17" si="29">AC10+AF10+AI10+AL10</f>
        <v>1245159285.8599999</v>
      </c>
      <c r="AS10" s="404">
        <f>'[1]10'!B29+'[1]10'!B69</f>
        <v>35532</v>
      </c>
      <c r="AT10" s="405">
        <f>AU10/AS10</f>
        <v>2154.4135000000001</v>
      </c>
      <c r="AU10" s="406">
        <f>'[1]10'!C69+'[1]10'!C29</f>
        <v>76550619.590000004</v>
      </c>
      <c r="AV10" s="404">
        <f>'[1]11'!B30+'[1]11'!B71</f>
        <v>138319</v>
      </c>
      <c r="AW10" s="405">
        <f t="shared" si="17"/>
        <v>2234.9009999999998</v>
      </c>
      <c r="AX10" s="406">
        <f>'[1]11'!C71+'[1]11'!C30</f>
        <v>309129273.18000001</v>
      </c>
      <c r="AY10" s="404">
        <f>'[1]12'!B30+'[1]12'!B71</f>
        <v>163499</v>
      </c>
      <c r="AZ10" s="405">
        <f t="shared" si="18"/>
        <v>2007.8488</v>
      </c>
      <c r="BA10" s="406">
        <f>'[1]12'!C71+'[1]12'!C30</f>
        <v>328281266.49000001</v>
      </c>
      <c r="BB10" s="404">
        <f t="shared" si="19"/>
        <v>337350</v>
      </c>
      <c r="BC10" s="405">
        <f t="shared" si="20"/>
        <v>2116.3811000000001</v>
      </c>
      <c r="BD10" s="406">
        <f t="shared" si="21"/>
        <v>713961159.25999999</v>
      </c>
      <c r="BE10" s="436">
        <f t="shared" ref="BE10:BE17" si="30">AD10+AG10+AJ10+AS10+AV10+AY10</f>
        <v>369522</v>
      </c>
      <c r="BF10" s="437">
        <f t="shared" si="22"/>
        <v>2089.0699</v>
      </c>
      <c r="BG10" s="438">
        <f t="shared" ref="BG10:BG17" si="31">AF10+AI10+AL10+AU10+AX10+BA10</f>
        <v>771957298.35000002</v>
      </c>
      <c r="BH10" s="404">
        <f t="shared" si="23"/>
        <v>933455</v>
      </c>
      <c r="BI10" s="405">
        <f>BJ10/BH10</f>
        <v>2098.7840000000001</v>
      </c>
      <c r="BJ10" s="406">
        <f t="shared" si="24"/>
        <v>1959120445.1199999</v>
      </c>
      <c r="BK10" s="407">
        <f t="shared" ref="BK10:BK17" si="32">BJ10/1000</f>
        <v>1959120.45</v>
      </c>
    </row>
    <row r="11" spans="1:63" x14ac:dyDescent="0.2">
      <c r="A11" s="403" t="s">
        <v>921</v>
      </c>
      <c r="B11" s="398" t="s">
        <v>922</v>
      </c>
      <c r="C11" s="404">
        <f>'[1]01'!B45</f>
        <v>865168</v>
      </c>
      <c r="D11" s="405">
        <f t="shared" si="25"/>
        <v>152.91929999999999</v>
      </c>
      <c r="E11" s="406">
        <f>'[1]01'!C45</f>
        <v>132300843.69</v>
      </c>
      <c r="F11" s="404">
        <f>'[1]02'!B62</f>
        <v>823772</v>
      </c>
      <c r="G11" s="405">
        <f t="shared" si="0"/>
        <v>156.36869999999999</v>
      </c>
      <c r="H11" s="406">
        <f>'[1]02'!C62</f>
        <v>128812143.26000001</v>
      </c>
      <c r="I11" s="404">
        <f>'[1]03'!B69</f>
        <v>825919</v>
      </c>
      <c r="J11" s="405">
        <f t="shared" si="1"/>
        <v>145.64150000000001</v>
      </c>
      <c r="K11" s="406">
        <f>'[1]03'!C69</f>
        <v>120288061.54000001</v>
      </c>
      <c r="L11" s="404">
        <f>C11+F11+I11</f>
        <v>2514859</v>
      </c>
      <c r="M11" s="405">
        <f t="shared" si="3"/>
        <v>151.65899999999999</v>
      </c>
      <c r="N11" s="406">
        <f t="shared" si="4"/>
        <v>381401048.49000001</v>
      </c>
      <c r="O11" s="404">
        <f>'[1]04'!B70</f>
        <v>882232</v>
      </c>
      <c r="P11" s="405">
        <f t="shared" si="5"/>
        <v>154.27950000000001</v>
      </c>
      <c r="Q11" s="406">
        <f>'[1]04'!C70</f>
        <v>136110310.93000001</v>
      </c>
      <c r="R11" s="404">
        <f>'[1]05'!B73</f>
        <v>1077910</v>
      </c>
      <c r="S11" s="405">
        <f t="shared" si="6"/>
        <v>152.72649999999999</v>
      </c>
      <c r="T11" s="406">
        <f>'[1]05'!C73</f>
        <v>164625420.46000001</v>
      </c>
      <c r="U11" s="404">
        <f>'[1]06'!B74</f>
        <v>1300775</v>
      </c>
      <c r="V11" s="405">
        <f t="shared" si="7"/>
        <v>157.2647</v>
      </c>
      <c r="W11" s="406">
        <f>'[1]06'!C74</f>
        <v>204566004.05000001</v>
      </c>
      <c r="X11" s="404">
        <f t="shared" si="8"/>
        <v>3260917</v>
      </c>
      <c r="Y11" s="405">
        <f t="shared" si="9"/>
        <v>154.95689999999999</v>
      </c>
      <c r="Z11" s="406">
        <f t="shared" si="10"/>
        <v>505301735.44</v>
      </c>
      <c r="AA11" s="404">
        <f t="shared" si="11"/>
        <v>5775776</v>
      </c>
      <c r="AB11" s="405">
        <f t="shared" ref="AB11:AB17" si="33">AC11/AA11</f>
        <v>153.52099999999999</v>
      </c>
      <c r="AC11" s="406">
        <f t="shared" si="12"/>
        <v>886702783.92999995</v>
      </c>
      <c r="AD11" s="404">
        <f>'[1]07'!B74</f>
        <v>1382110</v>
      </c>
      <c r="AE11" s="405">
        <f t="shared" ref="AE11:AE17" si="34">AF11/AD11</f>
        <v>158.33420000000001</v>
      </c>
      <c r="AF11" s="406">
        <f>'[1]07'!C74</f>
        <v>218835314.84999999</v>
      </c>
      <c r="AG11" s="404">
        <f>'[1]08'!B75</f>
        <v>1381477</v>
      </c>
      <c r="AH11" s="405">
        <f t="shared" si="26"/>
        <v>158.73779999999999</v>
      </c>
      <c r="AI11" s="406">
        <f>'[1]08'!C75</f>
        <v>219292630.19999999</v>
      </c>
      <c r="AJ11" s="404">
        <f>'[1]09'!B76</f>
        <v>1263074</v>
      </c>
      <c r="AK11" s="405">
        <f t="shared" si="27"/>
        <v>157.2603</v>
      </c>
      <c r="AL11" s="406">
        <f>'[1]09'!C76</f>
        <v>198631450.53999999</v>
      </c>
      <c r="AM11" s="404">
        <f t="shared" si="13"/>
        <v>4026661</v>
      </c>
      <c r="AN11" s="405">
        <f t="shared" si="14"/>
        <v>158.13579999999999</v>
      </c>
      <c r="AO11" s="406">
        <f t="shared" si="15"/>
        <v>636759395.59000003</v>
      </c>
      <c r="AP11" s="404">
        <f t="shared" si="28"/>
        <v>9802437</v>
      </c>
      <c r="AQ11" s="405">
        <f t="shared" si="16"/>
        <v>155.41669999999999</v>
      </c>
      <c r="AR11" s="406">
        <f t="shared" si="29"/>
        <v>1523462179.52</v>
      </c>
      <c r="AS11" s="404">
        <f>'[1]10'!B76</f>
        <v>1132077</v>
      </c>
      <c r="AT11" s="405">
        <f t="shared" ref="AT11:AT17" si="35">AU11/AS11</f>
        <v>152.34479999999999</v>
      </c>
      <c r="AU11" s="406">
        <f>'[1]10'!C76</f>
        <v>172466047.94</v>
      </c>
      <c r="AV11" s="404">
        <f>[2]TDSheet!$B$78</f>
        <v>1039195</v>
      </c>
      <c r="AW11" s="405">
        <f t="shared" si="17"/>
        <v>152.40110000000001</v>
      </c>
      <c r="AX11" s="406">
        <f>'[1]11'!C78</f>
        <v>158374457.86000001</v>
      </c>
      <c r="AY11" s="404">
        <f>'[1]12'!B78</f>
        <v>1004168</v>
      </c>
      <c r="AZ11" s="405">
        <f t="shared" si="18"/>
        <v>149.37280000000001</v>
      </c>
      <c r="BA11" s="406">
        <f>'[1]12'!C78</f>
        <v>149995410.97999999</v>
      </c>
      <c r="BB11" s="404">
        <f t="shared" si="19"/>
        <v>3175440</v>
      </c>
      <c r="BC11" s="405">
        <f t="shared" si="20"/>
        <v>151.42339999999999</v>
      </c>
      <c r="BD11" s="406">
        <f t="shared" si="21"/>
        <v>480835916.77999997</v>
      </c>
      <c r="BE11" s="436">
        <f t="shared" si="30"/>
        <v>7202101</v>
      </c>
      <c r="BF11" s="437">
        <f t="shared" si="22"/>
        <v>155.1763</v>
      </c>
      <c r="BG11" s="438">
        <f t="shared" si="31"/>
        <v>1117595312.3699999</v>
      </c>
      <c r="BH11" s="404">
        <f t="shared" si="23"/>
        <v>12977877</v>
      </c>
      <c r="BI11" s="405">
        <f t="shared" ref="BI11:BI17" si="36">BJ11/BH11</f>
        <v>154.43960000000001</v>
      </c>
      <c r="BJ11" s="406">
        <f t="shared" si="24"/>
        <v>2004298096.3</v>
      </c>
      <c r="BK11" s="407">
        <f t="shared" si="32"/>
        <v>2004298.1</v>
      </c>
    </row>
    <row r="12" spans="1:63" x14ac:dyDescent="0.2">
      <c r="A12" s="403" t="s">
        <v>923</v>
      </c>
      <c r="B12" s="398" t="s">
        <v>922</v>
      </c>
      <c r="C12" s="404">
        <f>'[1]01'!B51</f>
        <v>213797</v>
      </c>
      <c r="D12" s="405">
        <f t="shared" si="25"/>
        <v>44.074800000000003</v>
      </c>
      <c r="E12" s="406">
        <f>'[1]01'!C51</f>
        <v>9423057.1699999999</v>
      </c>
      <c r="F12" s="404">
        <f>'[1]02'!B68</f>
        <v>204019</v>
      </c>
      <c r="G12" s="405">
        <f t="shared" si="0"/>
        <v>46.224899999999998</v>
      </c>
      <c r="H12" s="406">
        <f>'[1]02'!C68</f>
        <v>9430766.5299999993</v>
      </c>
      <c r="I12" s="404">
        <f>'[1]03'!B75</f>
        <v>215366</v>
      </c>
      <c r="J12" s="405">
        <f t="shared" si="1"/>
        <v>44.377299999999998</v>
      </c>
      <c r="K12" s="406">
        <f>'[1]03'!C75</f>
        <v>9557364.1699999999</v>
      </c>
      <c r="L12" s="404">
        <f t="shared" si="2"/>
        <v>633182</v>
      </c>
      <c r="M12" s="405">
        <f t="shared" si="3"/>
        <v>44.8705</v>
      </c>
      <c r="N12" s="406">
        <f t="shared" si="4"/>
        <v>28411187.870000001</v>
      </c>
      <c r="O12" s="404">
        <f>'[1]04'!B77</f>
        <v>208178</v>
      </c>
      <c r="P12" s="405">
        <f t="shared" si="5"/>
        <v>45.909399999999998</v>
      </c>
      <c r="Q12" s="406">
        <f>'[1]04'!C77</f>
        <v>9557318.5</v>
      </c>
      <c r="R12" s="404">
        <f>'[1]05'!B81</f>
        <v>221528</v>
      </c>
      <c r="S12" s="405">
        <f t="shared" si="6"/>
        <v>46.037999999999997</v>
      </c>
      <c r="T12" s="406">
        <f>'[1]05'!C81</f>
        <v>10198699.82</v>
      </c>
      <c r="U12" s="404">
        <f>'[1]06'!B82</f>
        <v>250171</v>
      </c>
      <c r="V12" s="405">
        <f t="shared" si="7"/>
        <v>48.270699999999998</v>
      </c>
      <c r="W12" s="406">
        <f>'[1]06'!C82</f>
        <v>12075932.050000001</v>
      </c>
      <c r="X12" s="404">
        <f t="shared" si="8"/>
        <v>679877</v>
      </c>
      <c r="Y12" s="405">
        <f t="shared" si="9"/>
        <v>46.8202</v>
      </c>
      <c r="Z12" s="406">
        <f t="shared" si="10"/>
        <v>31831950.370000001</v>
      </c>
      <c r="AA12" s="404">
        <f t="shared" si="11"/>
        <v>1313059</v>
      </c>
      <c r="AB12" s="405">
        <f t="shared" si="33"/>
        <v>45.88</v>
      </c>
      <c r="AC12" s="406">
        <f t="shared" si="12"/>
        <v>60243138.240000002</v>
      </c>
      <c r="AD12" s="404">
        <f>'[1]07'!B82</f>
        <v>264150</v>
      </c>
      <c r="AE12" s="405">
        <f t="shared" si="34"/>
        <v>52.457599999999999</v>
      </c>
      <c r="AF12" s="406">
        <f>'[1]07'!C82</f>
        <v>13856671.140000001</v>
      </c>
      <c r="AG12" s="404">
        <f>'[1]08'!B84</f>
        <v>243389</v>
      </c>
      <c r="AH12" s="405">
        <f t="shared" si="26"/>
        <v>51.724600000000002</v>
      </c>
      <c r="AI12" s="406">
        <f>'[1]08'!C84</f>
        <v>12589191.710000001</v>
      </c>
      <c r="AJ12" s="404">
        <f>'[1]09'!B85</f>
        <v>218661</v>
      </c>
      <c r="AK12" s="405">
        <f t="shared" si="27"/>
        <v>47.326799999999999</v>
      </c>
      <c r="AL12" s="406">
        <f>'[1]09'!C85</f>
        <v>10348531.470000001</v>
      </c>
      <c r="AM12" s="404">
        <f t="shared" si="13"/>
        <v>726200</v>
      </c>
      <c r="AN12" s="405">
        <f t="shared" si="14"/>
        <v>50.667000000000002</v>
      </c>
      <c r="AO12" s="406">
        <f t="shared" si="15"/>
        <v>36794394.32</v>
      </c>
      <c r="AP12" s="404">
        <f t="shared" si="28"/>
        <v>2039259</v>
      </c>
      <c r="AQ12" s="405">
        <f t="shared" si="16"/>
        <v>47.584699999999998</v>
      </c>
      <c r="AR12" s="406">
        <f t="shared" si="29"/>
        <v>97037532.560000002</v>
      </c>
      <c r="AS12" s="404">
        <f>'[1]10'!B85</f>
        <v>227078</v>
      </c>
      <c r="AT12" s="405">
        <f t="shared" si="35"/>
        <v>47.891199999999998</v>
      </c>
      <c r="AU12" s="406">
        <f>'[1]10'!C85</f>
        <v>10875034.67</v>
      </c>
      <c r="AV12" s="404">
        <f>'[1]11'!B87</f>
        <v>215169</v>
      </c>
      <c r="AW12" s="405">
        <f t="shared" si="17"/>
        <v>49.482500000000002</v>
      </c>
      <c r="AX12" s="406">
        <f>'[1]11'!C87</f>
        <v>10647091.68</v>
      </c>
      <c r="AY12" s="404">
        <f>'[1]12'!B87</f>
        <v>226201</v>
      </c>
      <c r="AZ12" s="405">
        <f t="shared" si="18"/>
        <v>46.485300000000002</v>
      </c>
      <c r="BA12" s="406">
        <f>'[1]12'!C87</f>
        <v>10515012.52</v>
      </c>
      <c r="BB12" s="404">
        <f t="shared" si="19"/>
        <v>668448</v>
      </c>
      <c r="BC12" s="405">
        <f t="shared" si="20"/>
        <v>47.927599999999998</v>
      </c>
      <c r="BD12" s="406">
        <f t="shared" si="21"/>
        <v>32037138.870000001</v>
      </c>
      <c r="BE12" s="436">
        <f t="shared" si="30"/>
        <v>1394648</v>
      </c>
      <c r="BF12" s="437">
        <f t="shared" si="22"/>
        <v>49.354100000000003</v>
      </c>
      <c r="BG12" s="438">
        <f t="shared" si="31"/>
        <v>68831533.189999998</v>
      </c>
      <c r="BH12" s="404">
        <f t="shared" si="23"/>
        <v>2707707</v>
      </c>
      <c r="BI12" s="405">
        <f t="shared" si="36"/>
        <v>47.669400000000003</v>
      </c>
      <c r="BJ12" s="406">
        <f t="shared" si="24"/>
        <v>129074671.43000001</v>
      </c>
      <c r="BK12" s="407">
        <f t="shared" si="32"/>
        <v>129074.67</v>
      </c>
    </row>
    <row r="13" spans="1:63" x14ac:dyDescent="0.2">
      <c r="A13" s="403" t="s">
        <v>924</v>
      </c>
      <c r="B13" s="398" t="s">
        <v>922</v>
      </c>
      <c r="C13" s="404">
        <f>'[1]01'!B65</f>
        <v>160809</v>
      </c>
      <c r="D13" s="405">
        <f t="shared" si="25"/>
        <v>170</v>
      </c>
      <c r="E13" s="406">
        <f>'[1]01'!C65</f>
        <v>27337530</v>
      </c>
      <c r="F13" s="404">
        <f>'[1]02'!B83</f>
        <v>143927</v>
      </c>
      <c r="G13" s="405">
        <f t="shared" si="0"/>
        <v>170</v>
      </c>
      <c r="H13" s="406">
        <f>'[1]02'!C83</f>
        <v>24467590</v>
      </c>
      <c r="I13" s="404">
        <f>'[1]03'!B92</f>
        <v>135538</v>
      </c>
      <c r="J13" s="405">
        <f t="shared" si="1"/>
        <v>170</v>
      </c>
      <c r="K13" s="406">
        <f>'[1]03'!C92</f>
        <v>23041460</v>
      </c>
      <c r="L13" s="404">
        <f t="shared" si="2"/>
        <v>440274</v>
      </c>
      <c r="M13" s="405">
        <f t="shared" si="3"/>
        <v>170</v>
      </c>
      <c r="N13" s="406">
        <f t="shared" si="4"/>
        <v>74846580</v>
      </c>
      <c r="O13" s="404">
        <f>'[1]04'!B94</f>
        <v>139590</v>
      </c>
      <c r="P13" s="405">
        <f t="shared" si="5"/>
        <v>170</v>
      </c>
      <c r="Q13" s="406">
        <f>'[1]04'!C94</f>
        <v>23730300</v>
      </c>
      <c r="R13" s="404">
        <f>'[1]05'!B98</f>
        <v>136278</v>
      </c>
      <c r="S13" s="405">
        <f t="shared" si="6"/>
        <v>170</v>
      </c>
      <c r="T13" s="406">
        <f>'[1]05'!C98</f>
        <v>23167260</v>
      </c>
      <c r="U13" s="404">
        <f>'[1]06'!B99</f>
        <v>166360</v>
      </c>
      <c r="V13" s="405">
        <f t="shared" si="7"/>
        <v>170</v>
      </c>
      <c r="W13" s="406">
        <f>'[1]06'!C99</f>
        <v>28281200</v>
      </c>
      <c r="X13" s="404">
        <f t="shared" si="8"/>
        <v>442228</v>
      </c>
      <c r="Y13" s="405">
        <f t="shared" si="9"/>
        <v>170</v>
      </c>
      <c r="Z13" s="406">
        <f t="shared" si="10"/>
        <v>75178760</v>
      </c>
      <c r="AA13" s="404">
        <f t="shared" si="11"/>
        <v>882502</v>
      </c>
      <c r="AB13" s="405">
        <f t="shared" si="33"/>
        <v>170</v>
      </c>
      <c r="AC13" s="406">
        <f t="shared" si="12"/>
        <v>150025340</v>
      </c>
      <c r="AD13" s="404">
        <f>'[1]07'!B99</f>
        <v>176383</v>
      </c>
      <c r="AE13" s="405">
        <f t="shared" si="34"/>
        <v>170</v>
      </c>
      <c r="AF13" s="406">
        <f>'[1]07'!C99</f>
        <v>29985110</v>
      </c>
      <c r="AG13" s="404">
        <f>'[1]08'!B101</f>
        <v>158513</v>
      </c>
      <c r="AH13" s="405">
        <f t="shared" si="26"/>
        <v>170</v>
      </c>
      <c r="AI13" s="406">
        <f>'[1]08'!C101</f>
        <v>26947210</v>
      </c>
      <c r="AJ13" s="404">
        <f>'[1]09'!B102</f>
        <v>86820</v>
      </c>
      <c r="AK13" s="405">
        <f t="shared" si="27"/>
        <v>170</v>
      </c>
      <c r="AL13" s="406">
        <f>'[1]09'!C102</f>
        <v>14759400</v>
      </c>
      <c r="AM13" s="404">
        <f t="shared" si="13"/>
        <v>421716</v>
      </c>
      <c r="AN13" s="405">
        <f t="shared" si="14"/>
        <v>170</v>
      </c>
      <c r="AO13" s="406">
        <f t="shared" si="15"/>
        <v>71691720</v>
      </c>
      <c r="AP13" s="404">
        <f t="shared" si="28"/>
        <v>1304218</v>
      </c>
      <c r="AQ13" s="405">
        <f t="shared" si="16"/>
        <v>170</v>
      </c>
      <c r="AR13" s="406">
        <f t="shared" si="29"/>
        <v>221717060</v>
      </c>
      <c r="AS13" s="404">
        <f>'[1]10'!B102</f>
        <v>152172</v>
      </c>
      <c r="AT13" s="405">
        <f t="shared" si="35"/>
        <v>170</v>
      </c>
      <c r="AU13" s="406">
        <f>'[1]10'!C102</f>
        <v>25869240</v>
      </c>
      <c r="AV13" s="404">
        <f>'[1]11'!B104</f>
        <v>140928</v>
      </c>
      <c r="AW13" s="405">
        <f t="shared" si="17"/>
        <v>170</v>
      </c>
      <c r="AX13" s="406">
        <f>'[1]11'!C104</f>
        <v>23957760</v>
      </c>
      <c r="AY13" s="404">
        <f>'[1]12'!B104</f>
        <v>143220</v>
      </c>
      <c r="AZ13" s="405">
        <f t="shared" si="18"/>
        <v>170</v>
      </c>
      <c r="BA13" s="406">
        <f>'[1]12'!C104</f>
        <v>24347400</v>
      </c>
      <c r="BB13" s="404">
        <f t="shared" si="19"/>
        <v>436320</v>
      </c>
      <c r="BC13" s="405">
        <f t="shared" si="20"/>
        <v>170</v>
      </c>
      <c r="BD13" s="406">
        <f t="shared" si="21"/>
        <v>74174400</v>
      </c>
      <c r="BE13" s="436">
        <f t="shared" si="30"/>
        <v>858036</v>
      </c>
      <c r="BF13" s="437">
        <f t="shared" si="22"/>
        <v>170</v>
      </c>
      <c r="BG13" s="438">
        <f t="shared" si="31"/>
        <v>145866120</v>
      </c>
      <c r="BH13" s="404">
        <f t="shared" si="23"/>
        <v>1740538</v>
      </c>
      <c r="BI13" s="405">
        <f t="shared" si="36"/>
        <v>170</v>
      </c>
      <c r="BJ13" s="406">
        <f t="shared" si="24"/>
        <v>295891460</v>
      </c>
      <c r="BK13" s="407">
        <f t="shared" si="32"/>
        <v>295891.46000000002</v>
      </c>
    </row>
    <row r="14" spans="1:63" x14ac:dyDescent="0.2">
      <c r="A14" s="403" t="s">
        <v>925</v>
      </c>
      <c r="B14" s="398" t="s">
        <v>926</v>
      </c>
      <c r="C14" s="404">
        <f>'[1]01'!B69</f>
        <v>18216</v>
      </c>
      <c r="D14" s="405">
        <f t="shared" si="25"/>
        <v>1215</v>
      </c>
      <c r="E14" s="406">
        <f>'[1]01'!C69</f>
        <v>22132440</v>
      </c>
      <c r="F14" s="404">
        <f>'[1]02'!B87</f>
        <v>15401</v>
      </c>
      <c r="G14" s="405">
        <f t="shared" si="0"/>
        <v>1215</v>
      </c>
      <c r="H14" s="406">
        <f>'[1]02'!C87</f>
        <v>18712215</v>
      </c>
      <c r="I14" s="404">
        <f>'[1]03'!B96</f>
        <v>14017</v>
      </c>
      <c r="J14" s="405">
        <f t="shared" si="1"/>
        <v>1215</v>
      </c>
      <c r="K14" s="406">
        <f>'[1]03'!C96</f>
        <v>17030655</v>
      </c>
      <c r="L14" s="404">
        <f t="shared" si="2"/>
        <v>47634</v>
      </c>
      <c r="M14" s="405">
        <f t="shared" si="3"/>
        <v>1215</v>
      </c>
      <c r="N14" s="406">
        <f t="shared" si="4"/>
        <v>57875310</v>
      </c>
      <c r="O14" s="404">
        <f>'[1]04'!B98</f>
        <v>16198</v>
      </c>
      <c r="P14" s="405">
        <f t="shared" si="5"/>
        <v>1215</v>
      </c>
      <c r="Q14" s="406">
        <f>'[1]04'!C98</f>
        <v>19680570</v>
      </c>
      <c r="R14" s="404">
        <f>'[1]05'!B102</f>
        <v>17830</v>
      </c>
      <c r="S14" s="405">
        <f t="shared" si="6"/>
        <v>1215</v>
      </c>
      <c r="T14" s="406">
        <f>'[1]05'!C102</f>
        <v>21663450</v>
      </c>
      <c r="U14" s="404">
        <f>'[1]06'!B103</f>
        <v>19594</v>
      </c>
      <c r="V14" s="405">
        <f t="shared" si="7"/>
        <v>1215</v>
      </c>
      <c r="W14" s="406">
        <f>'[1]06'!C103</f>
        <v>23806710</v>
      </c>
      <c r="X14" s="404">
        <f t="shared" si="8"/>
        <v>53622</v>
      </c>
      <c r="Y14" s="405">
        <f t="shared" si="9"/>
        <v>1215</v>
      </c>
      <c r="Z14" s="406">
        <f t="shared" si="10"/>
        <v>65150730</v>
      </c>
      <c r="AA14" s="404">
        <f t="shared" si="11"/>
        <v>101256</v>
      </c>
      <c r="AB14" s="405">
        <f t="shared" si="33"/>
        <v>1215</v>
      </c>
      <c r="AC14" s="406">
        <f t="shared" si="12"/>
        <v>123026040</v>
      </c>
      <c r="AD14" s="404">
        <f>'[1]07'!B103</f>
        <v>20919</v>
      </c>
      <c r="AE14" s="405">
        <f t="shared" si="34"/>
        <v>1215</v>
      </c>
      <c r="AF14" s="406">
        <f>'[1]07'!C103</f>
        <v>25416585</v>
      </c>
      <c r="AG14" s="404">
        <f>'[1]08'!B105</f>
        <v>20541</v>
      </c>
      <c r="AH14" s="405">
        <f t="shared" si="26"/>
        <v>1215</v>
      </c>
      <c r="AI14" s="406">
        <f>'[1]08'!C105</f>
        <v>24957315</v>
      </c>
      <c r="AJ14" s="404">
        <f>'[1]09'!B106</f>
        <v>7716</v>
      </c>
      <c r="AK14" s="405">
        <f t="shared" si="27"/>
        <v>1215</v>
      </c>
      <c r="AL14" s="406">
        <f>'[1]09'!C106</f>
        <v>9374940</v>
      </c>
      <c r="AM14" s="404">
        <f t="shared" si="13"/>
        <v>49176</v>
      </c>
      <c r="AN14" s="405">
        <f t="shared" si="14"/>
        <v>1215</v>
      </c>
      <c r="AO14" s="406">
        <f t="shared" si="15"/>
        <v>59748840</v>
      </c>
      <c r="AP14" s="404">
        <f t="shared" si="28"/>
        <v>150432</v>
      </c>
      <c r="AQ14" s="405">
        <f t="shared" si="16"/>
        <v>1215</v>
      </c>
      <c r="AR14" s="406">
        <f t="shared" si="29"/>
        <v>182774880</v>
      </c>
      <c r="AS14" s="404">
        <f>'[1]10'!B106</f>
        <v>17246</v>
      </c>
      <c r="AT14" s="405">
        <f t="shared" si="35"/>
        <v>1215</v>
      </c>
      <c r="AU14" s="406">
        <f>'[1]10'!C106</f>
        <v>20953890</v>
      </c>
      <c r="AV14" s="404">
        <f>'[1]11'!B108</f>
        <v>18129</v>
      </c>
      <c r="AW14" s="405">
        <f t="shared" si="17"/>
        <v>1215</v>
      </c>
      <c r="AX14" s="406">
        <f>'[1]11'!C108</f>
        <v>22026735</v>
      </c>
      <c r="AY14" s="404">
        <f>'[1]12'!B108</f>
        <v>16687</v>
      </c>
      <c r="AZ14" s="405">
        <f t="shared" si="18"/>
        <v>1215</v>
      </c>
      <c r="BA14" s="406">
        <f>'[1]12'!C108</f>
        <v>20274705</v>
      </c>
      <c r="BB14" s="404">
        <f t="shared" si="19"/>
        <v>52062</v>
      </c>
      <c r="BC14" s="405">
        <f t="shared" si="20"/>
        <v>1215</v>
      </c>
      <c r="BD14" s="406">
        <f t="shared" si="21"/>
        <v>63255330</v>
      </c>
      <c r="BE14" s="436">
        <f t="shared" si="30"/>
        <v>101238</v>
      </c>
      <c r="BF14" s="437">
        <f t="shared" si="22"/>
        <v>1215</v>
      </c>
      <c r="BG14" s="438">
        <f t="shared" si="31"/>
        <v>123004170</v>
      </c>
      <c r="BH14" s="404">
        <f t="shared" si="23"/>
        <v>202494</v>
      </c>
      <c r="BI14" s="405">
        <f t="shared" si="36"/>
        <v>1215</v>
      </c>
      <c r="BJ14" s="406">
        <f t="shared" si="24"/>
        <v>246030210</v>
      </c>
      <c r="BK14" s="407">
        <f t="shared" si="32"/>
        <v>246030.21</v>
      </c>
    </row>
    <row r="15" spans="1:63" s="402" customFormat="1" x14ac:dyDescent="0.2">
      <c r="A15" s="408" t="s">
        <v>927</v>
      </c>
      <c r="B15" s="398" t="s">
        <v>922</v>
      </c>
      <c r="C15" s="409">
        <f>SUM(C16:C17)</f>
        <v>302284</v>
      </c>
      <c r="D15" s="410">
        <f t="shared" si="25"/>
        <v>124.06399999999999</v>
      </c>
      <c r="E15" s="401">
        <f>SUM(E16:E17)</f>
        <v>37502561.299999997</v>
      </c>
      <c r="F15" s="409">
        <f>SUM(F16:F17)</f>
        <v>251725</v>
      </c>
      <c r="G15" s="410">
        <f t="shared" si="0"/>
        <v>131.6865</v>
      </c>
      <c r="H15" s="401">
        <f>SUM(H16:H17)</f>
        <v>33148780.050000001</v>
      </c>
      <c r="I15" s="409">
        <f>SUM(I16:I17)</f>
        <v>283835</v>
      </c>
      <c r="J15" s="410">
        <f t="shared" si="1"/>
        <v>124.7299</v>
      </c>
      <c r="K15" s="401">
        <f>SUM(K16:K17)</f>
        <v>35402719.789999999</v>
      </c>
      <c r="L15" s="409">
        <f>SUM(L16:L17)</f>
        <v>837844</v>
      </c>
      <c r="M15" s="410">
        <f t="shared" si="3"/>
        <v>126.5797</v>
      </c>
      <c r="N15" s="401">
        <f>SUM(N16:N17)</f>
        <v>106054061.14</v>
      </c>
      <c r="O15" s="409">
        <f>SUM(O16:O17)</f>
        <v>259474</v>
      </c>
      <c r="P15" s="410">
        <f t="shared" si="5"/>
        <v>116.74850000000001</v>
      </c>
      <c r="Q15" s="401">
        <f>SUM(Q16:Q17)</f>
        <v>30293194.379999999</v>
      </c>
      <c r="R15" s="409">
        <f>SUM(R16:R17)</f>
        <v>223115</v>
      </c>
      <c r="S15" s="410">
        <f t="shared" si="6"/>
        <v>107.8335</v>
      </c>
      <c r="T15" s="401">
        <f>SUM(T16:T17)</f>
        <v>24059281.530000001</v>
      </c>
      <c r="U15" s="409">
        <f>SUM(U16:U17)</f>
        <v>237451</v>
      </c>
      <c r="V15" s="410">
        <f>W15/U15</f>
        <v>100.791</v>
      </c>
      <c r="W15" s="401">
        <f>SUM(W16:W17)</f>
        <v>23932925.719999999</v>
      </c>
      <c r="X15" s="409">
        <f>SUM(X16:X17)</f>
        <v>720040</v>
      </c>
      <c r="Y15" s="410">
        <f t="shared" si="9"/>
        <v>108.72369999999999</v>
      </c>
      <c r="Z15" s="401">
        <f>SUM(Z16:Z17)</f>
        <v>78285401.629999995</v>
      </c>
      <c r="AA15" s="409">
        <f>SUM(AA16:AA17)</f>
        <v>1557884</v>
      </c>
      <c r="AB15" s="410">
        <f>AC15/AA15</f>
        <v>118.32680000000001</v>
      </c>
      <c r="AC15" s="401">
        <f>SUM(AC16:AC17)</f>
        <v>184339462.77000001</v>
      </c>
      <c r="AD15" s="409">
        <f>SUM(AD16:AD17)</f>
        <v>255486</v>
      </c>
      <c r="AE15" s="410">
        <f>AF15/AD15</f>
        <v>100.87479999999999</v>
      </c>
      <c r="AF15" s="401">
        <f>SUM(AF16:AF17)</f>
        <v>25772111.48</v>
      </c>
      <c r="AG15" s="409">
        <f>SUM(AG16:AG17)</f>
        <v>253571</v>
      </c>
      <c r="AH15" s="410">
        <f t="shared" si="26"/>
        <v>99.941000000000003</v>
      </c>
      <c r="AI15" s="401">
        <f>SUM(AI16:AI17)</f>
        <v>25342132.879999999</v>
      </c>
      <c r="AJ15" s="409">
        <f>SUM(AJ16:AJ17)</f>
        <v>227401</v>
      </c>
      <c r="AK15" s="410">
        <f>AL15/AJ15</f>
        <v>99.748099999999994</v>
      </c>
      <c r="AL15" s="401">
        <f>SUM(AL16:AL17)</f>
        <v>22682824.559999999</v>
      </c>
      <c r="AM15" s="409">
        <f>SUM(AM16:AM17)</f>
        <v>736458</v>
      </c>
      <c r="AN15" s="410">
        <f t="shared" si="14"/>
        <v>100.2054</v>
      </c>
      <c r="AO15" s="401">
        <f>SUM(AO16:AO17)</f>
        <v>73797068.920000002</v>
      </c>
      <c r="AP15" s="409">
        <f>SUM(AP16:AP17)</f>
        <v>2294342</v>
      </c>
      <c r="AQ15" s="410">
        <f t="shared" si="16"/>
        <v>112.51</v>
      </c>
      <c r="AR15" s="401">
        <f>SUM(AR16:AR17)</f>
        <v>258136531.69</v>
      </c>
      <c r="AS15" s="409">
        <f>SUM(AS16:AS17)</f>
        <v>295684</v>
      </c>
      <c r="AT15" s="410">
        <f t="shared" si="35"/>
        <v>106.90219999999999</v>
      </c>
      <c r="AU15" s="401">
        <f>SUM(AU16:AU17)</f>
        <v>31609283.289999999</v>
      </c>
      <c r="AV15" s="409">
        <f>SUM(AV16:AV17)</f>
        <v>347102</v>
      </c>
      <c r="AW15" s="410">
        <f t="shared" si="17"/>
        <v>95.363399999999999</v>
      </c>
      <c r="AX15" s="401">
        <f>SUM(AX16:AX17)</f>
        <v>33100835.91</v>
      </c>
      <c r="AY15" s="409">
        <f>SUM(AY16:AY17)</f>
        <v>332870</v>
      </c>
      <c r="AZ15" s="410">
        <f t="shared" si="18"/>
        <v>112.52330000000001</v>
      </c>
      <c r="BA15" s="401">
        <f>SUM(BA16:BA17)</f>
        <v>37455636.710000001</v>
      </c>
      <c r="BB15" s="409">
        <f>SUM(BB16:BB17)</f>
        <v>975656</v>
      </c>
      <c r="BC15" s="410">
        <f t="shared" si="20"/>
        <v>104.7149</v>
      </c>
      <c r="BD15" s="401">
        <f>SUM(BD16:BD17)</f>
        <v>102165755.91</v>
      </c>
      <c r="BE15" s="439">
        <f>SUM(BE16:BE17)</f>
        <v>1712114</v>
      </c>
      <c r="BF15" s="440">
        <f t="shared" si="22"/>
        <v>102.7752</v>
      </c>
      <c r="BG15" s="435">
        <f>SUM(BG16:BG17)</f>
        <v>175962824.83000001</v>
      </c>
      <c r="BH15" s="409">
        <f>SUM(BH16:BH17)</f>
        <v>3269998</v>
      </c>
      <c r="BI15" s="410">
        <f>BJ15/BH15</f>
        <v>110.18429999999999</v>
      </c>
      <c r="BJ15" s="401">
        <f>SUM(BJ16:BJ17)</f>
        <v>360302287.60000002</v>
      </c>
      <c r="BK15" s="407">
        <f t="shared" si="32"/>
        <v>360302.29</v>
      </c>
    </row>
    <row r="16" spans="1:63" x14ac:dyDescent="0.2">
      <c r="A16" s="411" t="s">
        <v>928</v>
      </c>
      <c r="B16" s="398" t="s">
        <v>922</v>
      </c>
      <c r="C16" s="412">
        <f>'[1]01'!B55</f>
        <v>2829</v>
      </c>
      <c r="D16" s="413">
        <f t="shared" si="25"/>
        <v>3032.63</v>
      </c>
      <c r="E16" s="414">
        <f>'[1]01'!C55</f>
        <v>8579310.2699999996</v>
      </c>
      <c r="F16" s="412">
        <f>'[1]02'!B73</f>
        <v>2720</v>
      </c>
      <c r="G16" s="413">
        <f t="shared" si="0"/>
        <v>3502.94</v>
      </c>
      <c r="H16" s="414">
        <f>'[1]02'!C73</f>
        <v>9527996.8000000007</v>
      </c>
      <c r="I16" s="412">
        <f>'[1]03'!B80</f>
        <v>2510</v>
      </c>
      <c r="J16" s="413">
        <f t="shared" si="1"/>
        <v>3502.94</v>
      </c>
      <c r="K16" s="414">
        <f>'[1]03'!C80</f>
        <v>8792379.4000000004</v>
      </c>
      <c r="L16" s="412">
        <f>C16+F16+I16</f>
        <v>8059</v>
      </c>
      <c r="M16" s="413">
        <f t="shared" si="3"/>
        <v>3337.8442</v>
      </c>
      <c r="N16" s="414">
        <f>E16+H16+K16</f>
        <v>26899686.469999999</v>
      </c>
      <c r="O16" s="412">
        <f>'[1]04'!B82</f>
        <v>1494</v>
      </c>
      <c r="P16" s="413">
        <f t="shared" si="5"/>
        <v>3502.94</v>
      </c>
      <c r="Q16" s="414">
        <f>'[1]04'!C82</f>
        <v>5233392.3600000003</v>
      </c>
      <c r="R16" s="412">
        <f>'[1]05'!B86</f>
        <v>896</v>
      </c>
      <c r="S16" s="413">
        <f t="shared" si="6"/>
        <v>3502.94</v>
      </c>
      <c r="T16" s="414">
        <f>'[1]05'!C86</f>
        <v>3138634.24</v>
      </c>
      <c r="U16" s="412">
        <f>'[1]06'!B87</f>
        <v>759</v>
      </c>
      <c r="V16" s="413">
        <f t="shared" si="7"/>
        <v>3502.94</v>
      </c>
      <c r="W16" s="414">
        <f>'[1]06'!C87</f>
        <v>2658731.46</v>
      </c>
      <c r="X16" s="412">
        <f>O16+R16+U16</f>
        <v>3149</v>
      </c>
      <c r="Y16" s="413">
        <f t="shared" si="9"/>
        <v>3502.94</v>
      </c>
      <c r="Z16" s="414">
        <f>Q16+T16+W16</f>
        <v>11030758.060000001</v>
      </c>
      <c r="AA16" s="412">
        <f>C16+F16+I16+O16+R16+U16</f>
        <v>11208</v>
      </c>
      <c r="AB16" s="413">
        <f t="shared" si="33"/>
        <v>3384.2294999999999</v>
      </c>
      <c r="AC16" s="414">
        <f>E16+H16+K16+Q16+T16+W16</f>
        <v>37930444.530000001</v>
      </c>
      <c r="AD16" s="412">
        <f>'[1]07'!B87</f>
        <v>704</v>
      </c>
      <c r="AE16" s="413">
        <f t="shared" si="34"/>
        <v>3502.94</v>
      </c>
      <c r="AF16" s="414">
        <f>'[1]07'!C87</f>
        <v>2466069.7599999998</v>
      </c>
      <c r="AG16" s="412">
        <f>'[1]08'!B89</f>
        <v>547</v>
      </c>
      <c r="AH16" s="413">
        <f t="shared" si="26"/>
        <v>3502.94</v>
      </c>
      <c r="AI16" s="414">
        <f>'[1]08'!C89</f>
        <v>1916108.18</v>
      </c>
      <c r="AJ16" s="412">
        <f>'[1]09'!B90</f>
        <v>549</v>
      </c>
      <c r="AK16" s="413">
        <f t="shared" si="27"/>
        <v>3502.94</v>
      </c>
      <c r="AL16" s="414">
        <f>'[1]09'!C90</f>
        <v>1923114.06</v>
      </c>
      <c r="AM16" s="412">
        <f>AD16+AG16+AJ16</f>
        <v>1800</v>
      </c>
      <c r="AN16" s="413">
        <f t="shared" si="14"/>
        <v>3502.94</v>
      </c>
      <c r="AO16" s="414">
        <f>AF16+AI16+AL16</f>
        <v>6305292</v>
      </c>
      <c r="AP16" s="412">
        <f t="shared" si="28"/>
        <v>13008</v>
      </c>
      <c r="AQ16" s="413">
        <f t="shared" si="16"/>
        <v>3400.6563000000001</v>
      </c>
      <c r="AR16" s="414">
        <f t="shared" si="29"/>
        <v>44235736.530000001</v>
      </c>
      <c r="AS16" s="412">
        <f>'[1]10'!B90</f>
        <v>1422</v>
      </c>
      <c r="AT16" s="413">
        <f t="shared" si="35"/>
        <v>3502.94</v>
      </c>
      <c r="AU16" s="414">
        <f>'[1]10'!C90</f>
        <v>4981180.68</v>
      </c>
      <c r="AV16" s="412">
        <f>'[1]11'!B92</f>
        <v>334</v>
      </c>
      <c r="AW16" s="413">
        <f t="shared" si="17"/>
        <v>3502.94</v>
      </c>
      <c r="AX16" s="414">
        <f>'[1]11'!C92</f>
        <v>1169981.96</v>
      </c>
      <c r="AY16" s="412">
        <f>'[1]12'!B92</f>
        <v>1822</v>
      </c>
      <c r="AZ16" s="413">
        <f t="shared" si="18"/>
        <v>3502.94</v>
      </c>
      <c r="BA16" s="414">
        <f>'[1]12'!C92</f>
        <v>6382356.6799999997</v>
      </c>
      <c r="BB16" s="412">
        <f>AS16+AV16+AY16</f>
        <v>3578</v>
      </c>
      <c r="BC16" s="413">
        <f t="shared" si="20"/>
        <v>3502.94</v>
      </c>
      <c r="BD16" s="414">
        <f>AU16+AX16+BA16</f>
        <v>12533519.32</v>
      </c>
      <c r="BE16" s="441">
        <f t="shared" si="30"/>
        <v>5378</v>
      </c>
      <c r="BF16" s="442">
        <f t="shared" si="22"/>
        <v>3502.94</v>
      </c>
      <c r="BG16" s="443">
        <f t="shared" si="31"/>
        <v>18838811.32</v>
      </c>
      <c r="BH16" s="412">
        <f>AA16+AD16+AG16+AJ16+AS16+AV16+AY16</f>
        <v>16586</v>
      </c>
      <c r="BI16" s="413">
        <f>BJ16/BH16</f>
        <v>3422.7213000000002</v>
      </c>
      <c r="BJ16" s="414">
        <f>AC16+AF16+AI16+AL16+AU16+AX16+BA16</f>
        <v>56769255.850000001</v>
      </c>
      <c r="BK16" s="407">
        <f t="shared" si="32"/>
        <v>56769.26</v>
      </c>
    </row>
    <row r="17" spans="1:64" x14ac:dyDescent="0.2">
      <c r="A17" s="403" t="s">
        <v>929</v>
      </c>
      <c r="B17" s="398" t="s">
        <v>922</v>
      </c>
      <c r="C17" s="412">
        <f>'[1]01'!B61</f>
        <v>299455</v>
      </c>
      <c r="D17" s="413">
        <f t="shared" si="25"/>
        <v>96.586299999999994</v>
      </c>
      <c r="E17" s="414">
        <f>'[1]01'!C61</f>
        <v>28923251.030000001</v>
      </c>
      <c r="F17" s="412">
        <f>'[1]02'!B79</f>
        <v>249005</v>
      </c>
      <c r="G17" s="413">
        <f t="shared" si="0"/>
        <v>94.860699999999994</v>
      </c>
      <c r="H17" s="414">
        <f>'[1]02'!C79</f>
        <v>23620783.25</v>
      </c>
      <c r="I17" s="412">
        <f>'[1]03'!B88</f>
        <v>281325</v>
      </c>
      <c r="J17" s="413">
        <f t="shared" si="1"/>
        <v>94.589299999999994</v>
      </c>
      <c r="K17" s="414">
        <f>'[1]03'!C88</f>
        <v>26610340.390000001</v>
      </c>
      <c r="L17" s="412">
        <f>C17+F17+I17</f>
        <v>829785</v>
      </c>
      <c r="M17" s="413">
        <f t="shared" si="3"/>
        <v>95.391400000000004</v>
      </c>
      <c r="N17" s="414">
        <f>E17+H17+K17</f>
        <v>79154374.670000002</v>
      </c>
      <c r="O17" s="412">
        <f>'[1]04'!B90</f>
        <v>257980</v>
      </c>
      <c r="P17" s="413">
        <f t="shared" si="5"/>
        <v>97.138499999999993</v>
      </c>
      <c r="Q17" s="414">
        <f>'[1]04'!C90</f>
        <v>25059802.02</v>
      </c>
      <c r="R17" s="412">
        <f>'[1]05'!B94</f>
        <v>222219</v>
      </c>
      <c r="S17" s="413">
        <f t="shared" si="6"/>
        <v>94.144300000000001</v>
      </c>
      <c r="T17" s="414">
        <f>'[1]05'!C94</f>
        <v>20920647.289999999</v>
      </c>
      <c r="U17" s="412">
        <f>'[1]06'!B95</f>
        <v>236692</v>
      </c>
      <c r="V17" s="413">
        <f t="shared" si="7"/>
        <v>89.881299999999996</v>
      </c>
      <c r="W17" s="414">
        <f>'[1]06'!C95</f>
        <v>21274194.260000002</v>
      </c>
      <c r="X17" s="412">
        <f>O17+R17+U17</f>
        <v>716891</v>
      </c>
      <c r="Y17" s="413">
        <f t="shared" si="9"/>
        <v>93.814300000000003</v>
      </c>
      <c r="Z17" s="414">
        <f>Q17+T17+W17</f>
        <v>67254643.569999993</v>
      </c>
      <c r="AA17" s="412">
        <f>C17+F17+I17+O17+R17+U17</f>
        <v>1546676</v>
      </c>
      <c r="AB17" s="413">
        <f t="shared" si="33"/>
        <v>94.660399999999996</v>
      </c>
      <c r="AC17" s="414">
        <f>E17+H17+K17+Q17+T17+W17</f>
        <v>146409018.24000001</v>
      </c>
      <c r="AD17" s="412">
        <f>'[1]07'!B95</f>
        <v>254782</v>
      </c>
      <c r="AE17" s="413">
        <f t="shared" si="34"/>
        <v>91.474400000000003</v>
      </c>
      <c r="AF17" s="414">
        <f>'[1]07'!C95</f>
        <v>23306041.719999999</v>
      </c>
      <c r="AG17" s="412">
        <f>'[1]08'!B97</f>
        <v>253024</v>
      </c>
      <c r="AH17" s="413">
        <f t="shared" si="26"/>
        <v>92.584199999999996</v>
      </c>
      <c r="AI17" s="414">
        <f>'[1]08'!C97</f>
        <v>23426024.699999999</v>
      </c>
      <c r="AJ17" s="412">
        <f>'[1]09'!B98</f>
        <v>226852</v>
      </c>
      <c r="AK17" s="413">
        <f t="shared" si="27"/>
        <v>91.512100000000004</v>
      </c>
      <c r="AL17" s="414">
        <f>'[1]09'!C98</f>
        <v>20759710.5</v>
      </c>
      <c r="AM17" s="412">
        <f>AD17+AG17+AJ17</f>
        <v>734658</v>
      </c>
      <c r="AN17" s="413">
        <f t="shared" si="14"/>
        <v>91.868300000000005</v>
      </c>
      <c r="AO17" s="414">
        <f>AF17+AI17+AL17</f>
        <v>67491776.920000002</v>
      </c>
      <c r="AP17" s="412">
        <f t="shared" si="28"/>
        <v>2281334</v>
      </c>
      <c r="AQ17" s="413">
        <f t="shared" si="16"/>
        <v>93.761300000000006</v>
      </c>
      <c r="AR17" s="414">
        <f t="shared" si="29"/>
        <v>213900795.16</v>
      </c>
      <c r="AS17" s="412">
        <f>'[1]10'!B98</f>
        <v>294262</v>
      </c>
      <c r="AT17" s="413">
        <f t="shared" si="35"/>
        <v>90.491100000000003</v>
      </c>
      <c r="AU17" s="414">
        <f>'[1]10'!C98</f>
        <v>26628102.609999999</v>
      </c>
      <c r="AV17" s="412">
        <f>'[1]11'!B100</f>
        <v>346768</v>
      </c>
      <c r="AW17" s="413">
        <f t="shared" si="17"/>
        <v>92.081299999999999</v>
      </c>
      <c r="AX17" s="414">
        <f>'[1]11'!C100</f>
        <v>31930853.949999999</v>
      </c>
      <c r="AY17" s="412">
        <f>'[1]12'!B100</f>
        <v>331048</v>
      </c>
      <c r="AZ17" s="413">
        <f t="shared" si="18"/>
        <v>93.863399999999999</v>
      </c>
      <c r="BA17" s="414">
        <f>'[1]12'!C100</f>
        <v>31073280.030000001</v>
      </c>
      <c r="BB17" s="412">
        <f>AS17+AV17+AY17</f>
        <v>972078</v>
      </c>
      <c r="BC17" s="413">
        <f t="shared" si="20"/>
        <v>92.206800000000001</v>
      </c>
      <c r="BD17" s="414">
        <f>AU17+AX17+BA17</f>
        <v>89632236.590000004</v>
      </c>
      <c r="BE17" s="441">
        <f t="shared" si="30"/>
        <v>1706736</v>
      </c>
      <c r="BF17" s="442">
        <f t="shared" si="22"/>
        <v>92.061099999999996</v>
      </c>
      <c r="BG17" s="443">
        <f t="shared" si="31"/>
        <v>157124013.50999999</v>
      </c>
      <c r="BH17" s="412">
        <f>AA17+AD17+AG17+AJ17+AS17+AV17+AY17</f>
        <v>3253412</v>
      </c>
      <c r="BI17" s="413">
        <f t="shared" si="36"/>
        <v>93.296800000000005</v>
      </c>
      <c r="BJ17" s="414">
        <f>AC17+AF17+AI17+AL17+AU17+AX17+BA17</f>
        <v>303533031.75</v>
      </c>
      <c r="BK17" s="407">
        <f t="shared" si="32"/>
        <v>303533.03000000003</v>
      </c>
    </row>
    <row r="18" spans="1:64" x14ac:dyDescent="0.2">
      <c r="A18" s="415"/>
      <c r="B18" s="415"/>
      <c r="C18" s="415"/>
      <c r="D18" s="415"/>
      <c r="E18" s="416"/>
      <c r="F18" s="415"/>
      <c r="G18" s="415"/>
      <c r="H18" s="416"/>
      <c r="I18" s="415"/>
      <c r="J18" s="415"/>
      <c r="K18" s="416"/>
      <c r="L18" s="415"/>
      <c r="M18" s="415"/>
      <c r="N18" s="416"/>
      <c r="O18" s="415"/>
      <c r="P18" s="415"/>
      <c r="Q18" s="416"/>
      <c r="R18" s="415"/>
      <c r="S18" s="415"/>
      <c r="T18" s="416"/>
      <c r="U18" s="415"/>
      <c r="V18" s="415"/>
      <c r="W18" s="416"/>
      <c r="X18" s="415"/>
      <c r="Y18" s="415"/>
      <c r="Z18" s="416"/>
      <c r="AA18" s="415"/>
      <c r="AB18" s="415"/>
      <c r="AC18" s="416"/>
      <c r="AD18" s="415"/>
      <c r="AE18" s="415"/>
      <c r="AF18" s="416"/>
      <c r="AG18" s="415"/>
      <c r="AH18" s="415"/>
      <c r="AI18" s="416"/>
      <c r="AJ18" s="415"/>
      <c r="AK18" s="415"/>
      <c r="AL18" s="416"/>
      <c r="AM18" s="415"/>
      <c r="AN18" s="415"/>
      <c r="AO18" s="416"/>
      <c r="AP18" s="415"/>
      <c r="AQ18" s="415"/>
      <c r="AR18" s="416"/>
      <c r="AS18" s="415"/>
      <c r="AT18" s="415"/>
      <c r="AU18" s="416"/>
      <c r="AV18" s="415"/>
      <c r="AW18" s="415"/>
      <c r="AX18" s="416"/>
      <c r="AY18" s="415"/>
      <c r="AZ18" s="415"/>
      <c r="BA18" s="416"/>
      <c r="BB18" s="415"/>
      <c r="BC18" s="415"/>
      <c r="BD18" s="416"/>
      <c r="BE18" s="415"/>
      <c r="BF18" s="415"/>
      <c r="BG18" s="416"/>
      <c r="BH18" s="415"/>
      <c r="BI18" s="415"/>
      <c r="BJ18" s="416"/>
    </row>
    <row r="19" spans="1:64" x14ac:dyDescent="0.2">
      <c r="A19" s="415"/>
      <c r="B19" s="415"/>
      <c r="C19" s="417">
        <f>C14</f>
        <v>18216</v>
      </c>
      <c r="D19" s="415"/>
      <c r="E19" s="416"/>
      <c r="F19" s="417"/>
      <c r="G19" s="415"/>
      <c r="H19" s="416"/>
      <c r="I19" s="417"/>
      <c r="J19" s="415"/>
      <c r="K19" s="416"/>
      <c r="L19" s="417"/>
      <c r="M19" s="415"/>
      <c r="N19" s="416"/>
      <c r="O19" s="417"/>
      <c r="P19" s="415"/>
      <c r="Q19" s="416"/>
      <c r="R19" s="417"/>
      <c r="S19" s="415"/>
      <c r="T19" s="416"/>
      <c r="U19" s="417"/>
      <c r="V19" s="415"/>
      <c r="W19" s="416"/>
      <c r="X19" s="417"/>
      <c r="Y19" s="415"/>
      <c r="Z19" s="416"/>
      <c r="AA19" s="417"/>
      <c r="AB19" s="415"/>
      <c r="AC19" s="416"/>
      <c r="AD19" s="417"/>
      <c r="AE19" s="415"/>
      <c r="AF19" s="416"/>
      <c r="AG19" s="417"/>
      <c r="AH19" s="415"/>
      <c r="AI19" s="416"/>
      <c r="AJ19" s="417"/>
      <c r="AK19" s="415"/>
      <c r="AL19" s="416"/>
      <c r="AM19" s="417"/>
      <c r="AN19" s="415"/>
      <c r="AO19" s="416"/>
      <c r="AP19" s="417"/>
      <c r="AQ19" s="415"/>
      <c r="AR19" s="416"/>
      <c r="AS19" s="417"/>
      <c r="AT19" s="415"/>
      <c r="AU19" s="416"/>
      <c r="AV19" s="417"/>
      <c r="AW19" s="415"/>
      <c r="AX19" s="416"/>
      <c r="AY19" s="417"/>
      <c r="AZ19" s="415"/>
      <c r="BA19" s="416"/>
      <c r="BB19" s="417"/>
      <c r="BC19" s="415"/>
      <c r="BD19" s="416"/>
      <c r="BE19" s="417"/>
      <c r="BF19" s="415"/>
      <c r="BG19" s="416"/>
      <c r="BH19" s="415">
        <f>BH10-[3]товар!BH10</f>
        <v>3440</v>
      </c>
      <c r="BI19" s="415"/>
      <c r="BJ19" s="415">
        <f>BJ10-[3]товар!BJ10</f>
        <v>67057833.200000003</v>
      </c>
    </row>
    <row r="20" spans="1:64" x14ac:dyDescent="0.2">
      <c r="A20" s="415"/>
      <c r="B20" s="415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8"/>
      <c r="AN20" s="418"/>
      <c r="AO20" s="418"/>
      <c r="AP20" s="418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416"/>
      <c r="BB20" s="416"/>
      <c r="BC20" s="416"/>
      <c r="BD20" s="416"/>
      <c r="BE20" s="416"/>
      <c r="BF20" s="416"/>
      <c r="BG20" s="416"/>
      <c r="BH20" s="416"/>
      <c r="BI20" s="416"/>
      <c r="BJ20" s="416"/>
    </row>
    <row r="21" spans="1:64" ht="15.75" x14ac:dyDescent="0.2">
      <c r="A21" s="419" t="s">
        <v>930</v>
      </c>
      <c r="B21" s="420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</row>
    <row r="22" spans="1:64" ht="15.75" x14ac:dyDescent="0.2">
      <c r="A22" s="419" t="s">
        <v>931</v>
      </c>
      <c r="B22" s="421"/>
      <c r="C22" s="422"/>
      <c r="D22" s="415"/>
      <c r="E22" s="423"/>
      <c r="F22" s="422"/>
      <c r="G22" s="415"/>
      <c r="H22" s="423"/>
      <c r="I22" s="422"/>
      <c r="J22" s="415"/>
      <c r="K22" s="423"/>
      <c r="L22" s="422"/>
      <c r="M22" s="415"/>
      <c r="N22" s="423"/>
      <c r="O22" s="422"/>
      <c r="P22" s="415"/>
      <c r="Q22" s="423"/>
      <c r="R22" s="422"/>
      <c r="S22" s="415"/>
      <c r="T22" s="423"/>
      <c r="U22" s="422"/>
      <c r="V22" s="415"/>
      <c r="W22" s="423"/>
      <c r="X22" s="422"/>
      <c r="Y22" s="415"/>
      <c r="Z22" s="423"/>
      <c r="AA22" s="422"/>
      <c r="AB22" s="415"/>
      <c r="AC22" s="423"/>
      <c r="AD22" s="424"/>
      <c r="AE22" s="415"/>
      <c r="AF22" s="423"/>
      <c r="AG22" s="422"/>
      <c r="AH22" s="415"/>
      <c r="AI22" s="423"/>
      <c r="AJ22" s="422"/>
      <c r="AK22" s="415"/>
      <c r="AL22" s="423"/>
      <c r="AM22" s="422"/>
      <c r="AN22" s="415"/>
      <c r="AO22" s="423"/>
      <c r="AP22" s="422"/>
      <c r="AQ22" s="415"/>
      <c r="AR22" s="423"/>
      <c r="AS22" s="422"/>
      <c r="AT22" s="415"/>
      <c r="AU22" s="423"/>
      <c r="AV22" s="422"/>
      <c r="AW22" s="415"/>
      <c r="AX22" s="423"/>
      <c r="AY22" s="422"/>
      <c r="AZ22" s="415"/>
      <c r="BA22" s="423"/>
      <c r="BB22" s="422"/>
      <c r="BC22" s="415"/>
      <c r="BD22" s="423"/>
      <c r="BE22" s="422"/>
      <c r="BF22" s="415"/>
      <c r="BG22" s="423"/>
      <c r="BH22" s="422"/>
      <c r="BI22" s="415"/>
      <c r="BJ22" s="423"/>
    </row>
    <row r="23" spans="1:64" x14ac:dyDescent="0.2">
      <c r="B23" s="421"/>
      <c r="C23" s="415"/>
      <c r="D23" s="415"/>
      <c r="E23" s="425"/>
      <c r="F23" s="415"/>
      <c r="G23" s="415"/>
      <c r="H23" s="425"/>
      <c r="I23" s="415"/>
      <c r="J23" s="415"/>
      <c r="K23" s="425"/>
      <c r="L23" s="415"/>
      <c r="M23" s="415"/>
      <c r="N23" s="425"/>
      <c r="O23" s="415"/>
      <c r="P23" s="415"/>
      <c r="Q23" s="425"/>
      <c r="R23" s="415"/>
      <c r="S23" s="415"/>
      <c r="T23" s="425"/>
      <c r="U23" s="415"/>
      <c r="V23" s="415"/>
      <c r="W23" s="425"/>
      <c r="X23" s="415"/>
      <c r="Y23" s="415"/>
      <c r="Z23" s="425"/>
      <c r="AA23" s="415"/>
      <c r="AB23" s="415"/>
      <c r="AC23" s="425"/>
      <c r="AD23" s="415"/>
      <c r="AE23" s="415"/>
      <c r="AF23" s="425"/>
      <c r="AG23" s="415"/>
      <c r="AH23" s="415"/>
      <c r="AI23" s="425"/>
      <c r="AJ23" s="415"/>
      <c r="AK23" s="415"/>
      <c r="AL23" s="425"/>
      <c r="AM23" s="415"/>
      <c r="AN23" s="415"/>
      <c r="AO23" s="425"/>
      <c r="AP23" s="415"/>
      <c r="AQ23" s="415"/>
      <c r="AR23" s="425"/>
      <c r="AS23" s="415"/>
      <c r="AT23" s="415"/>
      <c r="AU23" s="425"/>
      <c r="AV23" s="415"/>
      <c r="AW23" s="415"/>
      <c r="AX23" s="425"/>
      <c r="AY23" s="415"/>
      <c r="AZ23" s="415"/>
      <c r="BA23" s="425"/>
      <c r="BB23" s="415"/>
      <c r="BC23" s="415"/>
      <c r="BD23" s="425"/>
      <c r="BE23" s="415"/>
      <c r="BF23" s="415"/>
      <c r="BG23" s="425"/>
      <c r="BH23" s="415"/>
      <c r="BI23" s="415"/>
      <c r="BJ23" s="425"/>
    </row>
    <row r="24" spans="1:64" s="395" customFormat="1" ht="12.75" customHeight="1" x14ac:dyDescent="0.25">
      <c r="A24" s="492" t="s">
        <v>328</v>
      </c>
      <c r="B24" s="495" t="s">
        <v>894</v>
      </c>
      <c r="C24" s="485" t="str">
        <f>C6</f>
        <v>Январь</v>
      </c>
      <c r="D24" s="486"/>
      <c r="E24" s="487"/>
      <c r="F24" s="485" t="str">
        <f>F6</f>
        <v>Февраль</v>
      </c>
      <c r="G24" s="486"/>
      <c r="H24" s="487"/>
      <c r="I24" s="485" t="str">
        <f>I6</f>
        <v>Март</v>
      </c>
      <c r="J24" s="486"/>
      <c r="K24" s="487"/>
      <c r="L24" s="485" t="s">
        <v>898</v>
      </c>
      <c r="M24" s="486"/>
      <c r="N24" s="487"/>
      <c r="O24" s="485" t="str">
        <f>O6</f>
        <v>Апрель</v>
      </c>
      <c r="P24" s="486"/>
      <c r="Q24" s="487"/>
      <c r="R24" s="485" t="str">
        <f>R6</f>
        <v>Май</v>
      </c>
      <c r="S24" s="486"/>
      <c r="T24" s="487"/>
      <c r="U24" s="485" t="str">
        <f>U6</f>
        <v>Июнь</v>
      </c>
      <c r="V24" s="486"/>
      <c r="W24" s="487"/>
      <c r="X24" s="485" t="s">
        <v>902</v>
      </c>
      <c r="Y24" s="486"/>
      <c r="Z24" s="487"/>
      <c r="AA24" s="485" t="str">
        <f>AA6</f>
        <v>1 полугодие</v>
      </c>
      <c r="AB24" s="486"/>
      <c r="AC24" s="487"/>
      <c r="AD24" s="485" t="str">
        <f>AD6</f>
        <v>июль</v>
      </c>
      <c r="AE24" s="486"/>
      <c r="AF24" s="487"/>
      <c r="AG24" s="485" t="str">
        <f>AG6</f>
        <v>август</v>
      </c>
      <c r="AH24" s="486"/>
      <c r="AI24" s="487"/>
      <c r="AJ24" s="485" t="str">
        <f>AJ6</f>
        <v>сентябрь</v>
      </c>
      <c r="AK24" s="486"/>
      <c r="AL24" s="487"/>
      <c r="AM24" s="485" t="s">
        <v>907</v>
      </c>
      <c r="AN24" s="486"/>
      <c r="AO24" s="487"/>
      <c r="AP24" s="485" t="str">
        <f>AP6</f>
        <v>9 месяцев</v>
      </c>
      <c r="AQ24" s="486"/>
      <c r="AR24" s="487"/>
      <c r="AS24" s="485" t="str">
        <f>AS6</f>
        <v>октябрь</v>
      </c>
      <c r="AT24" s="486"/>
      <c r="AU24" s="487"/>
      <c r="AV24" s="485" t="str">
        <f>AV6</f>
        <v>ноябрь</v>
      </c>
      <c r="AW24" s="486"/>
      <c r="AX24" s="487"/>
      <c r="AY24" s="485" t="str">
        <f>AY6</f>
        <v>декабрь</v>
      </c>
      <c r="AZ24" s="486"/>
      <c r="BA24" s="487"/>
      <c r="BB24" s="485" t="s">
        <v>912</v>
      </c>
      <c r="BC24" s="486"/>
      <c r="BD24" s="487"/>
      <c r="BE24" s="485" t="str">
        <f>BE6</f>
        <v>2 полугодие</v>
      </c>
      <c r="BF24" s="486"/>
      <c r="BG24" s="487"/>
      <c r="BH24" s="485" t="str">
        <f>BH6</f>
        <v>2019 г.</v>
      </c>
      <c r="BI24" s="486"/>
      <c r="BJ24" s="487"/>
    </row>
    <row r="25" spans="1:64" s="395" customFormat="1" ht="25.5" x14ac:dyDescent="0.25">
      <c r="A25" s="493"/>
      <c r="B25" s="496"/>
      <c r="C25" s="398" t="s">
        <v>914</v>
      </c>
      <c r="D25" s="397" t="s">
        <v>915</v>
      </c>
      <c r="E25" s="398" t="s">
        <v>916</v>
      </c>
      <c r="F25" s="398" t="s">
        <v>914</v>
      </c>
      <c r="G25" s="397" t="s">
        <v>915</v>
      </c>
      <c r="H25" s="398" t="s">
        <v>916</v>
      </c>
      <c r="I25" s="398" t="s">
        <v>914</v>
      </c>
      <c r="J25" s="397" t="s">
        <v>915</v>
      </c>
      <c r="K25" s="398" t="s">
        <v>916</v>
      </c>
      <c r="L25" s="398" t="s">
        <v>914</v>
      </c>
      <c r="M25" s="397" t="s">
        <v>915</v>
      </c>
      <c r="N25" s="398" t="s">
        <v>932</v>
      </c>
      <c r="O25" s="398" t="s">
        <v>914</v>
      </c>
      <c r="P25" s="397" t="s">
        <v>915</v>
      </c>
      <c r="Q25" s="398" t="s">
        <v>916</v>
      </c>
      <c r="R25" s="398" t="s">
        <v>914</v>
      </c>
      <c r="S25" s="397" t="s">
        <v>915</v>
      </c>
      <c r="T25" s="398" t="s">
        <v>916</v>
      </c>
      <c r="U25" s="398" t="s">
        <v>914</v>
      </c>
      <c r="V25" s="397" t="s">
        <v>915</v>
      </c>
      <c r="W25" s="398" t="s">
        <v>916</v>
      </c>
      <c r="X25" s="398" t="s">
        <v>914</v>
      </c>
      <c r="Y25" s="397" t="s">
        <v>915</v>
      </c>
      <c r="Z25" s="398" t="s">
        <v>916</v>
      </c>
      <c r="AA25" s="398" t="s">
        <v>914</v>
      </c>
      <c r="AB25" s="397" t="s">
        <v>915</v>
      </c>
      <c r="AC25" s="398" t="s">
        <v>916</v>
      </c>
      <c r="AD25" s="398" t="s">
        <v>914</v>
      </c>
      <c r="AE25" s="397" t="s">
        <v>915</v>
      </c>
      <c r="AF25" s="398" t="s">
        <v>916</v>
      </c>
      <c r="AG25" s="398" t="s">
        <v>914</v>
      </c>
      <c r="AH25" s="397" t="s">
        <v>915</v>
      </c>
      <c r="AI25" s="398" t="s">
        <v>916</v>
      </c>
      <c r="AJ25" s="398" t="s">
        <v>914</v>
      </c>
      <c r="AK25" s="397" t="s">
        <v>915</v>
      </c>
      <c r="AL25" s="398" t="s">
        <v>916</v>
      </c>
      <c r="AM25" s="398" t="s">
        <v>914</v>
      </c>
      <c r="AN25" s="397" t="s">
        <v>915</v>
      </c>
      <c r="AO25" s="398" t="s">
        <v>916</v>
      </c>
      <c r="AP25" s="398" t="s">
        <v>914</v>
      </c>
      <c r="AQ25" s="397" t="s">
        <v>915</v>
      </c>
      <c r="AR25" s="398" t="s">
        <v>916</v>
      </c>
      <c r="AS25" s="398" t="s">
        <v>914</v>
      </c>
      <c r="AT25" s="397" t="s">
        <v>915</v>
      </c>
      <c r="AU25" s="398" t="s">
        <v>916</v>
      </c>
      <c r="AV25" s="398" t="s">
        <v>914</v>
      </c>
      <c r="AW25" s="397" t="s">
        <v>915</v>
      </c>
      <c r="AX25" s="398" t="s">
        <v>916</v>
      </c>
      <c r="AY25" s="398" t="s">
        <v>914</v>
      </c>
      <c r="AZ25" s="397" t="s">
        <v>915</v>
      </c>
      <c r="BA25" s="398" t="s">
        <v>916</v>
      </c>
      <c r="BB25" s="398" t="s">
        <v>914</v>
      </c>
      <c r="BC25" s="397" t="s">
        <v>915</v>
      </c>
      <c r="BD25" s="398" t="s">
        <v>916</v>
      </c>
      <c r="BE25" s="398" t="s">
        <v>914</v>
      </c>
      <c r="BF25" s="397" t="s">
        <v>915</v>
      </c>
      <c r="BG25" s="398" t="s">
        <v>916</v>
      </c>
      <c r="BH25" s="398" t="s">
        <v>914</v>
      </c>
      <c r="BI25" s="397" t="s">
        <v>915</v>
      </c>
      <c r="BJ25" s="398" t="s">
        <v>916</v>
      </c>
    </row>
    <row r="26" spans="1:64" s="402" customFormat="1" x14ac:dyDescent="0.2">
      <c r="A26" s="494"/>
      <c r="B26" s="497"/>
      <c r="C26" s="399"/>
      <c r="D26" s="400"/>
      <c r="E26" s="401">
        <f>SUM(E27:E33)</f>
        <v>5025395081.7299995</v>
      </c>
      <c r="F26" s="399"/>
      <c r="G26" s="400"/>
      <c r="H26" s="401">
        <f>SUM(H27:H33)</f>
        <v>4561296084.6300001</v>
      </c>
      <c r="I26" s="399"/>
      <c r="J26" s="400"/>
      <c r="K26" s="401">
        <f>SUM(K27:K33)</f>
        <v>4318841267.7700005</v>
      </c>
      <c r="L26" s="399"/>
      <c r="M26" s="400"/>
      <c r="N26" s="401">
        <f>SUM(N27:N35)-N33</f>
        <v>13905532434.129999</v>
      </c>
      <c r="O26" s="399"/>
      <c r="P26" s="400"/>
      <c r="Q26" s="401">
        <f>SUM(Q27:Q33)</f>
        <v>3823957226.8899999</v>
      </c>
      <c r="R26" s="399"/>
      <c r="S26" s="400"/>
      <c r="T26" s="401">
        <f>SUM(T27:T33)</f>
        <v>3481294788.6799998</v>
      </c>
      <c r="U26" s="399"/>
      <c r="V26" s="400"/>
      <c r="W26" s="401">
        <f>SUM(W27:W33)</f>
        <v>4287905264.4200001</v>
      </c>
      <c r="X26" s="399"/>
      <c r="Y26" s="400"/>
      <c r="Z26" s="401">
        <f>SUM(Z27:Z35)-Z33</f>
        <v>11593157279.99</v>
      </c>
      <c r="AA26" s="399"/>
      <c r="AB26" s="400"/>
      <c r="AC26" s="401">
        <f>SUM(AC27:AC33)</f>
        <v>25498689714.119999</v>
      </c>
      <c r="AD26" s="399"/>
      <c r="AE26" s="400"/>
      <c r="AF26" s="401">
        <f>SUM(AF27:AF33)</f>
        <v>4502971975.1599998</v>
      </c>
      <c r="AG26" s="399"/>
      <c r="AH26" s="400"/>
      <c r="AI26" s="401">
        <f>SUM(AI27:AI33)</f>
        <v>4252744500.04</v>
      </c>
      <c r="AJ26" s="399"/>
      <c r="AK26" s="400"/>
      <c r="AL26" s="401">
        <f>SUM(AL27:AL33)</f>
        <v>3733069583.0500002</v>
      </c>
      <c r="AM26" s="399"/>
      <c r="AN26" s="400"/>
      <c r="AO26" s="401">
        <f>SUM(AO27:AO35)-AO33</f>
        <v>12488786058.25</v>
      </c>
      <c r="AP26" s="399"/>
      <c r="AQ26" s="400"/>
      <c r="AR26" s="401">
        <f>SUM(AR27:AR33)</f>
        <v>37987475772.370003</v>
      </c>
      <c r="AS26" s="399"/>
      <c r="AT26" s="400"/>
      <c r="AU26" s="401">
        <f>SUM(AU27:AU33)</f>
        <v>4095533990.5599999</v>
      </c>
      <c r="AV26" s="399"/>
      <c r="AW26" s="400"/>
      <c r="AX26" s="401">
        <f>SUM(AX27:AX33)</f>
        <v>4973119132.1899996</v>
      </c>
      <c r="AY26" s="399"/>
      <c r="AZ26" s="400"/>
      <c r="BA26" s="401">
        <f>SUM(BA27:BA33)</f>
        <v>5584370846.8000002</v>
      </c>
      <c r="BB26" s="399"/>
      <c r="BC26" s="400"/>
      <c r="BD26" s="401">
        <f>SUM(BD27:BD35)-BD33</f>
        <v>14653023969.549999</v>
      </c>
      <c r="BE26" s="399"/>
      <c r="BF26" s="400"/>
      <c r="BG26" s="401">
        <f>SUM(BG27:BG33)</f>
        <v>27276195120.310001</v>
      </c>
      <c r="BH26" s="399"/>
      <c r="BI26" s="400"/>
      <c r="BJ26" s="401">
        <f>SUM(BJ27:BJ33)</f>
        <v>52640499741.919998</v>
      </c>
      <c r="BL26" s="426">
        <f>BJ27+BJ28+BJ29+BJ30+BJ35</f>
        <v>52041808816</v>
      </c>
    </row>
    <row r="27" spans="1:64" x14ac:dyDescent="0.2">
      <c r="A27" s="403" t="s">
        <v>917</v>
      </c>
      <c r="B27" s="398" t="s">
        <v>918</v>
      </c>
      <c r="C27" s="404">
        <f>C9-'[1]не распр'!C8</f>
        <v>382580676</v>
      </c>
      <c r="D27" s="405">
        <f t="shared" ref="D27:D35" si="37">E27/C27</f>
        <v>11.667400000000001</v>
      </c>
      <c r="E27" s="406">
        <f>E9-'[1]не распр'!C21</f>
        <v>4463738034.1800003</v>
      </c>
      <c r="F27" s="404">
        <f>F9-'[1]не распр'!D8</f>
        <v>345839017</v>
      </c>
      <c r="G27" s="405">
        <f t="shared" ref="G27:G35" si="38">H27/F27</f>
        <v>11.6913</v>
      </c>
      <c r="H27" s="406">
        <f>H9-'[1]не распр'!D21</f>
        <v>4043317448.46</v>
      </c>
      <c r="I27" s="404">
        <f>I9-'[1]не распр'!E8</f>
        <v>330017516</v>
      </c>
      <c r="J27" s="405">
        <f t="shared" ref="J27:J35" si="39">K27/I27</f>
        <v>11.6387</v>
      </c>
      <c r="K27" s="406">
        <f>K9-'[1]не распр'!E21</f>
        <v>3840966277.3600001</v>
      </c>
      <c r="L27" s="404">
        <f t="shared" ref="L27:L32" si="40">C27+F27+I27</f>
        <v>1058437209</v>
      </c>
      <c r="M27" s="405">
        <f t="shared" ref="M27:M35" si="41">N27/L27</f>
        <v>11.6663</v>
      </c>
      <c r="N27" s="406">
        <f t="shared" ref="N27:N32" si="42">E27+H27+K27</f>
        <v>12348021760</v>
      </c>
      <c r="O27" s="404">
        <f>O9-'[1]не распр'!G8</f>
        <v>292461089</v>
      </c>
      <c r="P27" s="405">
        <f t="shared" ref="P27:P35" si="43">Q27/O27</f>
        <v>11.639699999999999</v>
      </c>
      <c r="Q27" s="406">
        <f>Q9-'[1]не распр'!G21</f>
        <v>3404150334.2600002</v>
      </c>
      <c r="R27" s="404">
        <f>R9-'[1]не распр'!H8</f>
        <v>278537068</v>
      </c>
      <c r="S27" s="405">
        <f t="shared" ref="S27:S35" si="44">T27/R27</f>
        <v>11.639699999999999</v>
      </c>
      <c r="T27" s="406">
        <f>T9-'[1]не распр'!H21</f>
        <v>3242097657</v>
      </c>
      <c r="U27" s="404">
        <f>U9-'[1]не распр'!I8</f>
        <v>343723797</v>
      </c>
      <c r="V27" s="405">
        <f t="shared" ref="V27:V35" si="45">W27/U27</f>
        <v>11.639699999999999</v>
      </c>
      <c r="W27" s="406">
        <f>W9-'[1]не распр'!I21</f>
        <v>4000833592.3400002</v>
      </c>
      <c r="X27" s="404">
        <f t="shared" ref="X27:X32" si="46">O27+R27+U27</f>
        <v>914721954</v>
      </c>
      <c r="Y27" s="405">
        <f t="shared" ref="Y27:Y35" si="47">Z27/X27</f>
        <v>11.639699999999999</v>
      </c>
      <c r="Z27" s="406">
        <f t="shared" ref="Z27:Z32" si="48">Q27+T27+W27</f>
        <v>10647081583.6</v>
      </c>
      <c r="AA27" s="404">
        <f t="shared" ref="AA27:AA32" si="49">C27+F27+I27+O27+R27+U27</f>
        <v>1973159163</v>
      </c>
      <c r="AB27" s="405">
        <f t="shared" ref="AB27:AB35" si="50">AC27/AA27</f>
        <v>11.654</v>
      </c>
      <c r="AC27" s="406">
        <f t="shared" ref="AC27:AC35" si="51">E27+H27+K27+Q27+T27+W27</f>
        <v>22995103343.599998</v>
      </c>
      <c r="AD27" s="404">
        <f>AD9-'[1]не распр'!L8</f>
        <v>359915431</v>
      </c>
      <c r="AE27" s="405">
        <f t="shared" ref="AE27:AE35" si="52">AF27/AD27</f>
        <v>11.6395</v>
      </c>
      <c r="AF27" s="406">
        <f>AF9-'[1]не распр'!L21</f>
        <v>4189243219.5799999</v>
      </c>
      <c r="AG27" s="404">
        <f>AG9-'[1]не распр'!M8</f>
        <v>338446081</v>
      </c>
      <c r="AH27" s="405">
        <f t="shared" ref="AH27:AH35" si="53">AI27/AG27</f>
        <v>11.639799999999999</v>
      </c>
      <c r="AI27" s="406">
        <f>AI9-'[1]не распр'!M21</f>
        <v>3939429434.5100002</v>
      </c>
      <c r="AJ27" s="404">
        <f>AJ9-'[1]не распр'!N8</f>
        <v>298059070</v>
      </c>
      <c r="AK27" s="405">
        <f t="shared" ref="AK27:AK35" si="54">AL27/AJ27</f>
        <v>11.639900000000001</v>
      </c>
      <c r="AL27" s="406">
        <f>AL9-'[1]не распр'!N21</f>
        <v>3469377831.29</v>
      </c>
      <c r="AM27" s="404">
        <f t="shared" ref="AM27:AM32" si="55">AD27+AG27+AJ27</f>
        <v>996420582</v>
      </c>
      <c r="AN27" s="405">
        <f t="shared" ref="AN27:AN35" si="56">AO27/AM27</f>
        <v>11.639699999999999</v>
      </c>
      <c r="AO27" s="406">
        <f t="shared" ref="AO27:AO32" si="57">AF27+AI27+AL27</f>
        <v>11598050485.379999</v>
      </c>
      <c r="AP27" s="404">
        <f>AM27+AA27</f>
        <v>2969579745</v>
      </c>
      <c r="AQ27" s="405">
        <f t="shared" ref="AQ27:AQ35" si="58">AR27/AP27</f>
        <v>11.6492</v>
      </c>
      <c r="AR27" s="406">
        <f>AO27+AC27</f>
        <v>34593153828.980003</v>
      </c>
      <c r="AS27" s="404">
        <f>AS9-'[1]не распр'!Q8</f>
        <v>325310960</v>
      </c>
      <c r="AT27" s="405">
        <f t="shared" ref="AT27:AT35" si="59">AU27/AS27</f>
        <v>11.617599999999999</v>
      </c>
      <c r="AU27" s="406">
        <f>AU9-'[1]не распр'!Q21</f>
        <v>3779322136.4000001</v>
      </c>
      <c r="AV27" s="404">
        <f>AV9-'[1]не распр'!R8</f>
        <v>367840392</v>
      </c>
      <c r="AW27" s="405">
        <f t="shared" ref="AW27:AW35" si="60">AX27/AV27</f>
        <v>12.116300000000001</v>
      </c>
      <c r="AX27" s="406">
        <f>AX9-'[1]не распр'!R21</f>
        <v>4456849869.2200003</v>
      </c>
      <c r="AY27" s="404">
        <f>AY9-'[1]не распр'!S8</f>
        <v>415741877</v>
      </c>
      <c r="AZ27" s="405">
        <f t="shared" ref="AZ27:AZ35" si="61">BA27/AY27</f>
        <v>12.119899999999999</v>
      </c>
      <c r="BA27" s="406">
        <f>BA9-'[1]не распр'!S21</f>
        <v>5038755370.5699997</v>
      </c>
      <c r="BB27" s="404">
        <f t="shared" ref="BB27:BB32" si="62">AS27+AV27+AY27</f>
        <v>1108893229</v>
      </c>
      <c r="BC27" s="405">
        <f t="shared" ref="BC27:BC35" si="63">BD27/BB27</f>
        <v>11.971299999999999</v>
      </c>
      <c r="BD27" s="406">
        <f t="shared" ref="BD27:BD32" si="64">AU27+AX27+BA27</f>
        <v>13274927376.190001</v>
      </c>
      <c r="BE27" s="404">
        <f>BE9-'[1]не распр'!AV8</f>
        <v>2105313811</v>
      </c>
      <c r="BF27" s="405">
        <f t="shared" ref="BF27:BF35" si="65">BG27/BE27</f>
        <v>11.814399999999999</v>
      </c>
      <c r="BG27" s="406">
        <f>BG9-'[1]не распр'!AV21</f>
        <v>24872977861.57</v>
      </c>
      <c r="BH27" s="404">
        <f t="shared" ref="BH27:BH32" si="66">C27+F27+I27+O27+R27+U27+AD27+AG27+AJ27+AS27+AV27+AY27</f>
        <v>4078472974</v>
      </c>
      <c r="BI27" s="405">
        <f>BJ27/BH27</f>
        <v>11.736800000000001</v>
      </c>
      <c r="BJ27" s="406">
        <f t="shared" ref="BJ27:BJ32" si="67">E27+H27+K27+Q27+T27+W27+AF27+AI27+AL27+AU27+AX27+BA27</f>
        <v>47868081205.169998</v>
      </c>
      <c r="BL27" s="427">
        <f>BJ27/BL26</f>
        <v>0.91980048910000001</v>
      </c>
    </row>
    <row r="28" spans="1:64" x14ac:dyDescent="0.2">
      <c r="A28" s="403" t="s">
        <v>919</v>
      </c>
      <c r="B28" s="398" t="s">
        <v>920</v>
      </c>
      <c r="C28" s="404">
        <f>C10-'[1]не распр'!C9</f>
        <v>159423</v>
      </c>
      <c r="D28" s="405">
        <f t="shared" si="37"/>
        <v>2142.8652000000002</v>
      </c>
      <c r="E28" s="406">
        <f>E10-'[1]не распр'!C22</f>
        <v>341621996.36000001</v>
      </c>
      <c r="F28" s="404">
        <f>F10-'[1]не распр'!D9</f>
        <v>141336</v>
      </c>
      <c r="G28" s="405">
        <f t="shared" si="38"/>
        <v>2158.5699</v>
      </c>
      <c r="H28" s="406">
        <f>H10-'[1]не распр'!D22</f>
        <v>305083636.19999999</v>
      </c>
      <c r="I28" s="404">
        <f>I10-'[1]не распр'!E9</f>
        <v>125872</v>
      </c>
      <c r="J28" s="405">
        <f t="shared" si="39"/>
        <v>2194.0781000000002</v>
      </c>
      <c r="K28" s="406">
        <f>K10-'[1]не распр'!E22</f>
        <v>276173004.74000001</v>
      </c>
      <c r="L28" s="404">
        <f t="shared" si="40"/>
        <v>426631</v>
      </c>
      <c r="M28" s="405">
        <f t="shared" si="41"/>
        <v>2163.1776</v>
      </c>
      <c r="N28" s="406">
        <f t="shared" si="42"/>
        <v>922878637.29999995</v>
      </c>
      <c r="O28" s="404">
        <f>O10-'[1]не распр'!G9</f>
        <v>87145</v>
      </c>
      <c r="P28" s="405">
        <f t="shared" si="43"/>
        <v>2366.5362</v>
      </c>
      <c r="Q28" s="406">
        <f>Q10-'[1]не распр'!G22</f>
        <v>206231795.16</v>
      </c>
      <c r="R28" s="404">
        <f>R10-'[1]не распр'!H9</f>
        <v>8399</v>
      </c>
      <c r="S28" s="405">
        <f t="shared" si="44"/>
        <v>565.83900000000006</v>
      </c>
      <c r="T28" s="406">
        <f>T10-'[1]не распр'!H22</f>
        <v>4752481.49</v>
      </c>
      <c r="U28" s="404">
        <f>U10-'[1]не распр'!I9</f>
        <v>6318</v>
      </c>
      <c r="V28" s="405">
        <f t="shared" si="45"/>
        <v>116.5176</v>
      </c>
      <c r="W28" s="406">
        <f>W10-'[1]не распр'!I22</f>
        <v>736158.12</v>
      </c>
      <c r="X28" s="404">
        <f>O28+R28+U28</f>
        <v>101862</v>
      </c>
      <c r="Y28" s="405">
        <f t="shared" si="47"/>
        <v>2078.5025999999998</v>
      </c>
      <c r="Z28" s="406">
        <f t="shared" si="48"/>
        <v>211720434.77000001</v>
      </c>
      <c r="AA28" s="404">
        <f t="shared" si="49"/>
        <v>528493</v>
      </c>
      <c r="AB28" s="405">
        <f t="shared" si="50"/>
        <v>2146.8573000000001</v>
      </c>
      <c r="AC28" s="406">
        <f t="shared" si="51"/>
        <v>1134599072.0699999</v>
      </c>
      <c r="AD28" s="404">
        <f>AD10-'[1]не распр'!L9</f>
        <v>6994</v>
      </c>
      <c r="AE28" s="405">
        <f t="shared" si="52"/>
        <v>1997.4889000000001</v>
      </c>
      <c r="AF28" s="406">
        <f>AF10-'[1]не распр'!L22</f>
        <v>13970437.630000001</v>
      </c>
      <c r="AG28" s="404">
        <f>AG10-'[1]не распр'!M9</f>
        <v>7278</v>
      </c>
      <c r="AH28" s="405">
        <f t="shared" si="53"/>
        <v>2053.7130000000002</v>
      </c>
      <c r="AI28" s="406">
        <f>AI10-'[1]не распр'!M22</f>
        <v>14946923.5</v>
      </c>
      <c r="AJ28" s="404">
        <f>AJ10-'[1]не распр'!N9</f>
        <v>5910</v>
      </c>
      <c r="AK28" s="405">
        <f t="shared" si="54"/>
        <v>1909.7018</v>
      </c>
      <c r="AL28" s="406">
        <f>AL10-'[1]не распр'!N22</f>
        <v>11286337.359999999</v>
      </c>
      <c r="AM28" s="404">
        <f t="shared" si="55"/>
        <v>20182</v>
      </c>
      <c r="AN28" s="405">
        <f t="shared" si="56"/>
        <v>1992.0572</v>
      </c>
      <c r="AO28" s="406">
        <f t="shared" si="57"/>
        <v>40203698.490000002</v>
      </c>
      <c r="AP28" s="404">
        <f t="shared" ref="AP28:AR35" si="68">AM28+AA28</f>
        <v>548675</v>
      </c>
      <c r="AQ28" s="405">
        <f t="shared" si="58"/>
        <v>2141.1633000000002</v>
      </c>
      <c r="AR28" s="406">
        <f t="shared" si="68"/>
        <v>1174802770.5599999</v>
      </c>
      <c r="AS28" s="404">
        <f>AS10-'[1]не распр'!Q9</f>
        <v>28895</v>
      </c>
      <c r="AT28" s="405">
        <f t="shared" si="59"/>
        <v>2308.4169999999999</v>
      </c>
      <c r="AU28" s="406">
        <f>AU10-'[1]не распр'!Q22</f>
        <v>66701709.810000002</v>
      </c>
      <c r="AV28" s="404">
        <f>AV10-'[1]не распр'!R9</f>
        <v>128281</v>
      </c>
      <c r="AW28" s="405">
        <f t="shared" si="60"/>
        <v>2293.6637999999998</v>
      </c>
      <c r="AX28" s="406">
        <f>AX10-'[1]не распр'!R22</f>
        <v>294233483.45999998</v>
      </c>
      <c r="AY28" s="404">
        <f>AY10-'[1]не распр'!S9</f>
        <v>155409</v>
      </c>
      <c r="AZ28" s="405">
        <f t="shared" si="61"/>
        <v>2035.1215</v>
      </c>
      <c r="BA28" s="406">
        <f>BA10-'[1]не распр'!S22</f>
        <v>316276191.88999999</v>
      </c>
      <c r="BB28" s="404">
        <f t="shared" si="62"/>
        <v>312585</v>
      </c>
      <c r="BC28" s="405">
        <f t="shared" si="63"/>
        <v>2166.4870999999998</v>
      </c>
      <c r="BD28" s="406">
        <f t="shared" si="64"/>
        <v>677211385.15999997</v>
      </c>
      <c r="BE28" s="404">
        <f>BE10-'[1]не распр'!AV9</f>
        <v>369522</v>
      </c>
      <c r="BF28" s="405">
        <f t="shared" si="65"/>
        <v>2089.0699</v>
      </c>
      <c r="BG28" s="406">
        <f>BG10-'[1]не распр'!AV22</f>
        <v>771957298.35000002</v>
      </c>
      <c r="BH28" s="404">
        <f t="shared" si="66"/>
        <v>861260</v>
      </c>
      <c r="BI28" s="405">
        <f>BJ28/BH28</f>
        <v>2150.3543</v>
      </c>
      <c r="BJ28" s="406">
        <f t="shared" si="67"/>
        <v>1852014155.72</v>
      </c>
      <c r="BL28" s="427">
        <f>BJ28/BL26</f>
        <v>3.5587044300000002E-2</v>
      </c>
    </row>
    <row r="29" spans="1:64" x14ac:dyDescent="0.2">
      <c r="A29" s="403" t="s">
        <v>921</v>
      </c>
      <c r="B29" s="398" t="s">
        <v>922</v>
      </c>
      <c r="C29" s="404">
        <f>C11-'[1]не распр'!C10</f>
        <v>842692</v>
      </c>
      <c r="D29" s="405">
        <f t="shared" si="37"/>
        <v>153.88050000000001</v>
      </c>
      <c r="E29" s="406">
        <f>E11-'[1]не распр'!C23</f>
        <v>129673848.81</v>
      </c>
      <c r="F29" s="404">
        <f>F11-'[1]не распр'!D10</f>
        <v>840775</v>
      </c>
      <c r="G29" s="405">
        <f t="shared" si="38"/>
        <v>155.5701</v>
      </c>
      <c r="H29" s="406">
        <f>H11-'[1]не распр'!D23</f>
        <v>130799453.90000001</v>
      </c>
      <c r="I29" s="404">
        <f>I11-'[1]не распр'!E10</f>
        <v>834358</v>
      </c>
      <c r="J29" s="405">
        <f t="shared" si="39"/>
        <v>145.35059999999999</v>
      </c>
      <c r="K29" s="406">
        <f>K11-'[1]не распр'!E23</f>
        <v>121274411.86</v>
      </c>
      <c r="L29" s="404">
        <f t="shared" si="40"/>
        <v>2517825</v>
      </c>
      <c r="M29" s="405">
        <f t="shared" si="41"/>
        <v>151.61799999999999</v>
      </c>
      <c r="N29" s="406">
        <f t="shared" si="42"/>
        <v>381747714.56999999</v>
      </c>
      <c r="O29" s="404">
        <f>O11-'[1]не распр'!G10</f>
        <v>860296</v>
      </c>
      <c r="P29" s="405">
        <f t="shared" si="43"/>
        <v>155.23310000000001</v>
      </c>
      <c r="Q29" s="406">
        <f>Q11-'[1]не распр'!G23</f>
        <v>133546431.25</v>
      </c>
      <c r="R29" s="404">
        <f>R11-'[1]не распр'!H10</f>
        <v>1021370</v>
      </c>
      <c r="S29" s="405">
        <f t="shared" si="44"/>
        <v>154.71090000000001</v>
      </c>
      <c r="T29" s="406">
        <f>T11-'[1]не распр'!H23</f>
        <v>158017025.25999999</v>
      </c>
      <c r="U29" s="404">
        <f>U11-'[1]не распр'!I10</f>
        <v>1275685</v>
      </c>
      <c r="V29" s="405">
        <f t="shared" si="45"/>
        <v>158.059</v>
      </c>
      <c r="W29" s="406">
        <f>W11-'[1]не распр'!I23</f>
        <v>201633484.84999999</v>
      </c>
      <c r="X29" s="404">
        <f t="shared" si="46"/>
        <v>3157351</v>
      </c>
      <c r="Y29" s="405">
        <f t="shared" si="47"/>
        <v>156.20590000000001</v>
      </c>
      <c r="Z29" s="406">
        <f t="shared" si="48"/>
        <v>493196941.36000001</v>
      </c>
      <c r="AA29" s="404">
        <f t="shared" si="49"/>
        <v>5675176</v>
      </c>
      <c r="AB29" s="405">
        <f t="shared" si="50"/>
        <v>154.1705</v>
      </c>
      <c r="AC29" s="406">
        <f t="shared" si="51"/>
        <v>874944655.92999995</v>
      </c>
      <c r="AD29" s="404">
        <f>AD11-'[1]не распр'!L10</f>
        <v>1325966</v>
      </c>
      <c r="AE29" s="405">
        <f t="shared" si="52"/>
        <v>160.08949999999999</v>
      </c>
      <c r="AF29" s="406">
        <f>AF11-'[1]не распр'!L23</f>
        <v>212273204.13</v>
      </c>
      <c r="AG29" s="404">
        <f>AG11-'[1]не распр'!M10</f>
        <v>1336343</v>
      </c>
      <c r="AH29" s="405">
        <f t="shared" si="53"/>
        <v>160.1515</v>
      </c>
      <c r="AI29" s="406">
        <f>AI11-'[1]не распр'!M23</f>
        <v>214017368.28</v>
      </c>
      <c r="AJ29" s="404">
        <f>AJ11-'[1]не распр'!N10</f>
        <v>1283083</v>
      </c>
      <c r="AK29" s="405">
        <f t="shared" si="54"/>
        <v>156.63059999999999</v>
      </c>
      <c r="AL29" s="406">
        <f>AL11-'[1]не распр'!N23</f>
        <v>200970102.46000001</v>
      </c>
      <c r="AM29" s="404">
        <f t="shared" si="55"/>
        <v>3945392</v>
      </c>
      <c r="AN29" s="405">
        <f t="shared" si="56"/>
        <v>158.98560000000001</v>
      </c>
      <c r="AO29" s="406">
        <f t="shared" si="57"/>
        <v>627260674.87</v>
      </c>
      <c r="AP29" s="404">
        <f t="shared" si="68"/>
        <v>9620568</v>
      </c>
      <c r="AQ29" s="405">
        <f t="shared" si="58"/>
        <v>156.14519999999999</v>
      </c>
      <c r="AR29" s="406">
        <f t="shared" si="68"/>
        <v>1502205330.8</v>
      </c>
      <c r="AS29" s="404">
        <f>AS11-'[1]не распр'!Q10</f>
        <v>1115076</v>
      </c>
      <c r="AT29" s="405">
        <f t="shared" si="59"/>
        <v>152.88550000000001</v>
      </c>
      <c r="AU29" s="406">
        <f>AU11-'[1]не распр'!Q23</f>
        <v>170478971.06</v>
      </c>
      <c r="AV29" s="404">
        <f>AV11-'[1]не распр'!R10</f>
        <v>936924</v>
      </c>
      <c r="AW29" s="405">
        <f t="shared" si="60"/>
        <v>156.2784</v>
      </c>
      <c r="AX29" s="406">
        <f>AX11-'[1]не распр'!R23</f>
        <v>146421023.38</v>
      </c>
      <c r="AY29" s="404">
        <f>AY11-'[1]не распр'!S10</f>
        <v>971505</v>
      </c>
      <c r="AZ29" s="405">
        <f t="shared" si="61"/>
        <v>150.46530000000001</v>
      </c>
      <c r="BA29" s="406">
        <f>BA11-'[1]не распр'!S23</f>
        <v>146177759.53999999</v>
      </c>
      <c r="BB29" s="404">
        <f t="shared" si="62"/>
        <v>3023505</v>
      </c>
      <c r="BC29" s="405">
        <f t="shared" si="63"/>
        <v>153.1592</v>
      </c>
      <c r="BD29" s="406">
        <f t="shared" si="64"/>
        <v>463077753.98000002</v>
      </c>
      <c r="BE29" s="404">
        <f>BE11-'[1]не распр'!AV10</f>
        <v>7202101</v>
      </c>
      <c r="BF29" s="405">
        <f t="shared" si="65"/>
        <v>155.1763</v>
      </c>
      <c r="BG29" s="406">
        <f>BG11-'[1]не распр'!AV23</f>
        <v>1117595312.3699999</v>
      </c>
      <c r="BH29" s="404">
        <f t="shared" si="66"/>
        <v>12644073</v>
      </c>
      <c r="BI29" s="405">
        <f t="shared" ref="BI29:BI35" si="69">BJ29/BH29</f>
        <v>155.43119999999999</v>
      </c>
      <c r="BJ29" s="406">
        <f t="shared" si="67"/>
        <v>1965283084.78</v>
      </c>
      <c r="BL29" s="427">
        <f>BJ29/BL26</f>
        <v>3.7763542999999997E-2</v>
      </c>
    </row>
    <row r="30" spans="1:64" x14ac:dyDescent="0.2">
      <c r="A30" s="403" t="s">
        <v>923</v>
      </c>
      <c r="B30" s="398" t="s">
        <v>922</v>
      </c>
      <c r="C30" s="404">
        <f>C12-'[1]не распр'!C11</f>
        <v>197213</v>
      </c>
      <c r="D30" s="405">
        <f t="shared" si="37"/>
        <v>45.068300000000001</v>
      </c>
      <c r="E30" s="406">
        <f>E12-'[1]не распр'!C24</f>
        <v>8888057.3300000001</v>
      </c>
      <c r="F30" s="404">
        <f>F12-'[1]не распр'!D11</f>
        <v>196068</v>
      </c>
      <c r="G30" s="405">
        <f t="shared" si="38"/>
        <v>46.7913</v>
      </c>
      <c r="H30" s="406">
        <f>H12-'[1]не распр'!D24</f>
        <v>9174267.2699999996</v>
      </c>
      <c r="I30" s="404">
        <f>I12-'[1]не распр'!E11</f>
        <v>220601</v>
      </c>
      <c r="J30" s="405">
        <f t="shared" si="39"/>
        <v>44.089799999999997</v>
      </c>
      <c r="K30" s="406">
        <f>K12-'[1]не распр'!E24</f>
        <v>9726245.2699999996</v>
      </c>
      <c r="L30" s="404">
        <f t="shared" si="40"/>
        <v>613882</v>
      </c>
      <c r="M30" s="405">
        <f t="shared" si="41"/>
        <v>45.267000000000003</v>
      </c>
      <c r="N30" s="406">
        <f t="shared" si="42"/>
        <v>27788569.870000001</v>
      </c>
      <c r="O30" s="404">
        <f>O12-'[1]не распр'!G11</f>
        <v>187862</v>
      </c>
      <c r="P30" s="405">
        <f t="shared" si="43"/>
        <v>47.385399999999997</v>
      </c>
      <c r="Q30" s="406">
        <f>Q12-'[1]не распр'!G24</f>
        <v>8901924.3399999999</v>
      </c>
      <c r="R30" s="404">
        <f>R12-'[1]не распр'!H11</f>
        <v>208211</v>
      </c>
      <c r="S30" s="405">
        <f t="shared" si="44"/>
        <v>46.919199999999996</v>
      </c>
      <c r="T30" s="406">
        <f>T12-'[1]не распр'!H24</f>
        <v>9769093.4000000004</v>
      </c>
      <c r="U30" s="404">
        <f>U12-'[1]не распр'!I11</f>
        <v>248280</v>
      </c>
      <c r="V30" s="405">
        <f t="shared" si="45"/>
        <v>48.392699999999998</v>
      </c>
      <c r="W30" s="406">
        <f>W12-'[1]не распр'!I24</f>
        <v>12014928.390000001</v>
      </c>
      <c r="X30" s="404">
        <f t="shared" si="46"/>
        <v>644353</v>
      </c>
      <c r="Y30" s="405">
        <f t="shared" si="47"/>
        <v>47.622900000000001</v>
      </c>
      <c r="Z30" s="406">
        <f t="shared" si="48"/>
        <v>30685946.129999999</v>
      </c>
      <c r="AA30" s="404">
        <f t="shared" si="49"/>
        <v>1258235</v>
      </c>
      <c r="AB30" s="405">
        <f t="shared" si="50"/>
        <v>46.473399999999998</v>
      </c>
      <c r="AC30" s="406">
        <f t="shared" si="51"/>
        <v>58474516</v>
      </c>
      <c r="AD30" s="404">
        <f>AD12-'[1]не распр'!L11</f>
        <v>251770</v>
      </c>
      <c r="AE30" s="405">
        <f t="shared" si="52"/>
        <v>53.450699999999998</v>
      </c>
      <c r="AF30" s="406">
        <f>AF12-'[1]не распр'!L24</f>
        <v>13457292.34</v>
      </c>
      <c r="AG30" s="404">
        <f>AG12-'[1]не распр'!M11</f>
        <v>234205</v>
      </c>
      <c r="AH30" s="405">
        <f t="shared" si="53"/>
        <v>52.4878</v>
      </c>
      <c r="AI30" s="406">
        <f>AI12-'[1]не распр'!M24</f>
        <v>12292915.869999999</v>
      </c>
      <c r="AJ30" s="404">
        <f>AJ12-'[1]не распр'!N11</f>
        <v>214527</v>
      </c>
      <c r="AK30" s="405">
        <f t="shared" si="54"/>
        <v>47.617199999999997</v>
      </c>
      <c r="AL30" s="406">
        <f>AL12-'[1]не распр'!N24</f>
        <v>10215168.630000001</v>
      </c>
      <c r="AM30" s="404">
        <f t="shared" si="55"/>
        <v>700502</v>
      </c>
      <c r="AN30" s="405">
        <f t="shared" si="56"/>
        <v>51.342300000000002</v>
      </c>
      <c r="AO30" s="406">
        <f t="shared" si="57"/>
        <v>35965376.840000004</v>
      </c>
      <c r="AP30" s="404">
        <f t="shared" si="68"/>
        <v>1958737</v>
      </c>
      <c r="AQ30" s="405">
        <f t="shared" si="58"/>
        <v>48.214700000000001</v>
      </c>
      <c r="AR30" s="406">
        <f t="shared" si="68"/>
        <v>94439892.840000004</v>
      </c>
      <c r="AS30" s="404">
        <f>AS12-'[1]не распр'!Q11</f>
        <v>223436</v>
      </c>
      <c r="AT30" s="405">
        <f t="shared" si="59"/>
        <v>48.146000000000001</v>
      </c>
      <c r="AU30" s="406">
        <f>AU12-'[1]не распр'!Q24</f>
        <v>10757543.75</v>
      </c>
      <c r="AV30" s="404">
        <f>AV12-'[1]не распр'!R11</f>
        <v>175998</v>
      </c>
      <c r="AW30" s="405">
        <f t="shared" si="60"/>
        <v>53.315600000000003</v>
      </c>
      <c r="AX30" s="406">
        <f>AX12-'[1]не распр'!R24</f>
        <v>9383435.2200000007</v>
      </c>
      <c r="AY30" s="404">
        <f>AY12-'[1]не распр'!S11</f>
        <v>213933</v>
      </c>
      <c r="AZ30" s="405">
        <f t="shared" si="61"/>
        <v>47.301000000000002</v>
      </c>
      <c r="BA30" s="406">
        <f>BA12-'[1]не распр'!S24</f>
        <v>10119246.84</v>
      </c>
      <c r="BB30" s="404">
        <f t="shared" si="62"/>
        <v>613367</v>
      </c>
      <c r="BC30" s="405">
        <f t="shared" si="63"/>
        <v>49.334600000000002</v>
      </c>
      <c r="BD30" s="406">
        <f t="shared" si="64"/>
        <v>30260225.809999999</v>
      </c>
      <c r="BE30" s="404">
        <f>BE12-'[1]не распр'!AV11</f>
        <v>1394648</v>
      </c>
      <c r="BF30" s="405">
        <f t="shared" si="65"/>
        <v>49.354100000000003</v>
      </c>
      <c r="BG30" s="406">
        <f>BG12-'[1]не распр'!AV24</f>
        <v>68831533.189999998</v>
      </c>
      <c r="BH30" s="404">
        <f t="shared" si="66"/>
        <v>2572104</v>
      </c>
      <c r="BI30" s="405">
        <f t="shared" si="69"/>
        <v>48.4818</v>
      </c>
      <c r="BJ30" s="406">
        <f t="shared" si="67"/>
        <v>124700118.65000001</v>
      </c>
      <c r="BL30" s="427">
        <f>BJ30/BL26</f>
        <v>2.3961527000000002E-3</v>
      </c>
    </row>
    <row r="31" spans="1:64" x14ac:dyDescent="0.2">
      <c r="A31" s="403" t="s">
        <v>924</v>
      </c>
      <c r="B31" s="398" t="s">
        <v>922</v>
      </c>
      <c r="C31" s="404">
        <f>C13-'[1]не распр'!C12</f>
        <v>160809</v>
      </c>
      <c r="D31" s="405">
        <f t="shared" si="37"/>
        <v>170</v>
      </c>
      <c r="E31" s="406">
        <f>E13-'[1]не распр'!C25</f>
        <v>27337530</v>
      </c>
      <c r="F31" s="404">
        <f>F13-'[1]не распр'!D12</f>
        <v>143927</v>
      </c>
      <c r="G31" s="405">
        <f t="shared" si="38"/>
        <v>170</v>
      </c>
      <c r="H31" s="406">
        <f>H13-'[1]не распр'!D25</f>
        <v>24467590</v>
      </c>
      <c r="I31" s="404">
        <f>I13-'[1]не распр'!E12</f>
        <v>135538</v>
      </c>
      <c r="J31" s="405">
        <f t="shared" si="39"/>
        <v>170</v>
      </c>
      <c r="K31" s="406">
        <f>K13-'[1]не распр'!E25</f>
        <v>23041460</v>
      </c>
      <c r="L31" s="404">
        <f t="shared" si="40"/>
        <v>440274</v>
      </c>
      <c r="M31" s="405">
        <f t="shared" si="41"/>
        <v>170</v>
      </c>
      <c r="N31" s="406">
        <f t="shared" si="42"/>
        <v>74846580</v>
      </c>
      <c r="O31" s="404">
        <f>O13-'[1]не распр'!G12</f>
        <v>139590</v>
      </c>
      <c r="P31" s="405">
        <f t="shared" si="43"/>
        <v>170</v>
      </c>
      <c r="Q31" s="406">
        <f>Q13-'[1]не распр'!G25</f>
        <v>23730300</v>
      </c>
      <c r="R31" s="404">
        <f>R13-'[1]не распр'!H12</f>
        <v>136278</v>
      </c>
      <c r="S31" s="405">
        <f t="shared" si="44"/>
        <v>170</v>
      </c>
      <c r="T31" s="406">
        <f>T13-'[1]не распр'!H25</f>
        <v>23167260</v>
      </c>
      <c r="U31" s="404">
        <f>U13-'[1]не распр'!I12</f>
        <v>166360</v>
      </c>
      <c r="V31" s="405">
        <f t="shared" si="45"/>
        <v>170</v>
      </c>
      <c r="W31" s="406">
        <f>W13-'[1]не распр'!I25</f>
        <v>28281200</v>
      </c>
      <c r="X31" s="404">
        <f t="shared" si="46"/>
        <v>442228</v>
      </c>
      <c r="Y31" s="405">
        <f t="shared" si="47"/>
        <v>170</v>
      </c>
      <c r="Z31" s="406">
        <f t="shared" si="48"/>
        <v>75178760</v>
      </c>
      <c r="AA31" s="404">
        <f t="shared" si="49"/>
        <v>882502</v>
      </c>
      <c r="AB31" s="405">
        <f t="shared" si="50"/>
        <v>170</v>
      </c>
      <c r="AC31" s="406">
        <f t="shared" si="51"/>
        <v>150025340</v>
      </c>
      <c r="AD31" s="404">
        <f>AD13-'[1]не распр'!L12</f>
        <v>176383</v>
      </c>
      <c r="AE31" s="405">
        <f t="shared" si="52"/>
        <v>170</v>
      </c>
      <c r="AF31" s="406">
        <f>AF13-'[1]не распр'!L25</f>
        <v>29985110</v>
      </c>
      <c r="AG31" s="404">
        <f>AG13-'[1]не распр'!M12</f>
        <v>158513</v>
      </c>
      <c r="AH31" s="405">
        <f t="shared" si="53"/>
        <v>170</v>
      </c>
      <c r="AI31" s="406">
        <f>AI13-'[1]не распр'!M25</f>
        <v>26947210</v>
      </c>
      <c r="AJ31" s="404">
        <f>AJ13-'[1]не распр'!N12</f>
        <v>86820</v>
      </c>
      <c r="AK31" s="405">
        <f t="shared" si="54"/>
        <v>170</v>
      </c>
      <c r="AL31" s="406">
        <f>AL13-'[1]не распр'!N25</f>
        <v>14759400</v>
      </c>
      <c r="AM31" s="404">
        <f t="shared" si="55"/>
        <v>421716</v>
      </c>
      <c r="AN31" s="405">
        <f t="shared" si="56"/>
        <v>170</v>
      </c>
      <c r="AO31" s="406">
        <f t="shared" si="57"/>
        <v>71691720</v>
      </c>
      <c r="AP31" s="404">
        <f t="shared" si="68"/>
        <v>1304218</v>
      </c>
      <c r="AQ31" s="405">
        <f t="shared" si="58"/>
        <v>170</v>
      </c>
      <c r="AR31" s="406">
        <f t="shared" si="68"/>
        <v>221717060</v>
      </c>
      <c r="AS31" s="404">
        <f>AS13-'[1]не распр'!Q12</f>
        <v>152172</v>
      </c>
      <c r="AT31" s="405">
        <f t="shared" si="59"/>
        <v>170</v>
      </c>
      <c r="AU31" s="406">
        <f>AU13-'[1]не распр'!Q25</f>
        <v>25869240</v>
      </c>
      <c r="AV31" s="404">
        <f>AV13-'[1]не распр'!R12</f>
        <v>140928</v>
      </c>
      <c r="AW31" s="405">
        <f t="shared" si="60"/>
        <v>170</v>
      </c>
      <c r="AX31" s="406">
        <f>AX13-'[1]не распр'!R25</f>
        <v>23957760</v>
      </c>
      <c r="AY31" s="404">
        <f>AY13-'[1]не распр'!S12</f>
        <v>143220</v>
      </c>
      <c r="AZ31" s="405">
        <f t="shared" si="61"/>
        <v>170</v>
      </c>
      <c r="BA31" s="406">
        <f>BA13-'[1]не распр'!S25</f>
        <v>24347400</v>
      </c>
      <c r="BB31" s="404">
        <f t="shared" si="62"/>
        <v>436320</v>
      </c>
      <c r="BC31" s="405">
        <f t="shared" si="63"/>
        <v>170</v>
      </c>
      <c r="BD31" s="406">
        <f t="shared" si="64"/>
        <v>74174400</v>
      </c>
      <c r="BE31" s="404">
        <f>BE13-'[1]не распр'!AV12</f>
        <v>858036</v>
      </c>
      <c r="BF31" s="405">
        <f t="shared" si="65"/>
        <v>170</v>
      </c>
      <c r="BG31" s="406">
        <f>BG13-'[1]не распр'!AV25</f>
        <v>145866120</v>
      </c>
      <c r="BH31" s="404">
        <f t="shared" si="66"/>
        <v>1740538</v>
      </c>
      <c r="BI31" s="405">
        <f t="shared" si="69"/>
        <v>170</v>
      </c>
      <c r="BJ31" s="406">
        <f t="shared" si="67"/>
        <v>295891460</v>
      </c>
    </row>
    <row r="32" spans="1:64" x14ac:dyDescent="0.2">
      <c r="A32" s="403" t="s">
        <v>925</v>
      </c>
      <c r="B32" s="398" t="s">
        <v>926</v>
      </c>
      <c r="C32" s="404">
        <f>C14-'[1]не распр'!C13</f>
        <v>18216</v>
      </c>
      <c r="D32" s="405">
        <f t="shared" si="37"/>
        <v>1215</v>
      </c>
      <c r="E32" s="406">
        <f>E14-'[1]не распр'!C26</f>
        <v>22132440</v>
      </c>
      <c r="F32" s="404">
        <f>F14-'[1]не распр'!D13</f>
        <v>15401</v>
      </c>
      <c r="G32" s="405">
        <f t="shared" si="38"/>
        <v>1215</v>
      </c>
      <c r="H32" s="406">
        <f>H14-'[1]не распр'!D26</f>
        <v>18712215</v>
      </c>
      <c r="I32" s="404">
        <f>I14-'[1]не распр'!E13</f>
        <v>14017</v>
      </c>
      <c r="J32" s="405">
        <f t="shared" si="39"/>
        <v>1215</v>
      </c>
      <c r="K32" s="406">
        <f>K14-'[1]не распр'!E26</f>
        <v>17030655</v>
      </c>
      <c r="L32" s="404">
        <f t="shared" si="40"/>
        <v>47634</v>
      </c>
      <c r="M32" s="405">
        <f t="shared" si="41"/>
        <v>1215</v>
      </c>
      <c r="N32" s="406">
        <f t="shared" si="42"/>
        <v>57875310</v>
      </c>
      <c r="O32" s="404">
        <f>O14-'[1]не распр'!G13</f>
        <v>16198</v>
      </c>
      <c r="P32" s="405">
        <f t="shared" si="43"/>
        <v>1215</v>
      </c>
      <c r="Q32" s="406">
        <f>Q14-'[1]не распр'!G26</f>
        <v>19680570</v>
      </c>
      <c r="R32" s="404">
        <f>R14-'[1]не распр'!H13</f>
        <v>17830</v>
      </c>
      <c r="S32" s="405">
        <f t="shared" si="44"/>
        <v>1215</v>
      </c>
      <c r="T32" s="406">
        <f>T14-'[1]не распр'!H26</f>
        <v>21663450</v>
      </c>
      <c r="U32" s="404">
        <f>U14-'[1]не распр'!I13</f>
        <v>19594</v>
      </c>
      <c r="V32" s="405">
        <f t="shared" si="45"/>
        <v>1215</v>
      </c>
      <c r="W32" s="406">
        <f>W14-'[1]не распр'!I26</f>
        <v>23806710</v>
      </c>
      <c r="X32" s="404">
        <f t="shared" si="46"/>
        <v>53622</v>
      </c>
      <c r="Y32" s="405">
        <f t="shared" si="47"/>
        <v>1215</v>
      </c>
      <c r="Z32" s="406">
        <f t="shared" si="48"/>
        <v>65150730</v>
      </c>
      <c r="AA32" s="404">
        <f t="shared" si="49"/>
        <v>101256</v>
      </c>
      <c r="AB32" s="405">
        <f t="shared" si="50"/>
        <v>1215</v>
      </c>
      <c r="AC32" s="406">
        <f t="shared" si="51"/>
        <v>123026040</v>
      </c>
      <c r="AD32" s="404">
        <f>AD14-'[1]не распр'!L13</f>
        <v>20919</v>
      </c>
      <c r="AE32" s="405">
        <f t="shared" si="52"/>
        <v>1215</v>
      </c>
      <c r="AF32" s="406">
        <f>AF14-'[1]не распр'!L26</f>
        <v>25416585</v>
      </c>
      <c r="AG32" s="404">
        <f>AG14-'[1]не распр'!M13</f>
        <v>20541</v>
      </c>
      <c r="AH32" s="405">
        <f t="shared" si="53"/>
        <v>1215</v>
      </c>
      <c r="AI32" s="406">
        <f>AI14-'[1]не распр'!M26</f>
        <v>24957315</v>
      </c>
      <c r="AJ32" s="404">
        <f>AJ14-'[1]не распр'!N13</f>
        <v>7716</v>
      </c>
      <c r="AK32" s="405">
        <f t="shared" si="54"/>
        <v>1215</v>
      </c>
      <c r="AL32" s="406">
        <f>AL14-'[1]не распр'!N26</f>
        <v>9374940</v>
      </c>
      <c r="AM32" s="404">
        <f t="shared" si="55"/>
        <v>49176</v>
      </c>
      <c r="AN32" s="405">
        <f t="shared" si="56"/>
        <v>1215</v>
      </c>
      <c r="AO32" s="406">
        <f t="shared" si="57"/>
        <v>59748840</v>
      </c>
      <c r="AP32" s="404">
        <f t="shared" si="68"/>
        <v>150432</v>
      </c>
      <c r="AQ32" s="405">
        <f t="shared" si="58"/>
        <v>1215</v>
      </c>
      <c r="AR32" s="406">
        <f t="shared" si="68"/>
        <v>182774880</v>
      </c>
      <c r="AS32" s="404">
        <f>AS14-'[1]не распр'!Q13</f>
        <v>17246</v>
      </c>
      <c r="AT32" s="405">
        <f t="shared" si="59"/>
        <v>1215</v>
      </c>
      <c r="AU32" s="406">
        <f>AU14-'[1]не распр'!Q26</f>
        <v>20953890</v>
      </c>
      <c r="AV32" s="404">
        <f>AV14-'[1]не распр'!R13</f>
        <v>18129</v>
      </c>
      <c r="AW32" s="405">
        <f t="shared" si="60"/>
        <v>1215</v>
      </c>
      <c r="AX32" s="406">
        <f>AX14-'[1]не распр'!R26</f>
        <v>22026735</v>
      </c>
      <c r="AY32" s="404">
        <f>AY14-'[1]не распр'!S13</f>
        <v>16687</v>
      </c>
      <c r="AZ32" s="405">
        <f t="shared" si="61"/>
        <v>1215</v>
      </c>
      <c r="BA32" s="406">
        <f>BA14-'[1]не распр'!S26</f>
        <v>20274705</v>
      </c>
      <c r="BB32" s="404">
        <f t="shared" si="62"/>
        <v>52062</v>
      </c>
      <c r="BC32" s="405">
        <f t="shared" si="63"/>
        <v>1215</v>
      </c>
      <c r="BD32" s="406">
        <f t="shared" si="64"/>
        <v>63255330</v>
      </c>
      <c r="BE32" s="404">
        <f>BE14-'[1]не распр'!AV13</f>
        <v>101238</v>
      </c>
      <c r="BF32" s="405">
        <f t="shared" si="65"/>
        <v>1215</v>
      </c>
      <c r="BG32" s="406">
        <f>BG14-'[1]не распр'!AV26</f>
        <v>123004170</v>
      </c>
      <c r="BH32" s="404">
        <f t="shared" si="66"/>
        <v>202494</v>
      </c>
      <c r="BI32" s="405">
        <f t="shared" si="69"/>
        <v>1215</v>
      </c>
      <c r="BJ32" s="406">
        <f t="shared" si="67"/>
        <v>246030210</v>
      </c>
    </row>
    <row r="33" spans="1:64" s="402" customFormat="1" x14ac:dyDescent="0.2">
      <c r="A33" s="408" t="s">
        <v>927</v>
      </c>
      <c r="B33" s="398" t="s">
        <v>922</v>
      </c>
      <c r="C33" s="409">
        <f>SUM(C34:C35)</f>
        <v>238523</v>
      </c>
      <c r="D33" s="410">
        <f t="shared" si="37"/>
        <v>134.17230000000001</v>
      </c>
      <c r="E33" s="401">
        <f>SUM(E34:E35)</f>
        <v>32003175.050000001</v>
      </c>
      <c r="F33" s="409">
        <f>SUM(F34:F35)</f>
        <v>212220</v>
      </c>
      <c r="G33" s="410">
        <f t="shared" si="38"/>
        <v>140.14449999999999</v>
      </c>
      <c r="H33" s="401">
        <f>SUM(H34:H35)</f>
        <v>29741473.800000001</v>
      </c>
      <c r="I33" s="409">
        <f>SUM(I34:I35)</f>
        <v>228490</v>
      </c>
      <c r="J33" s="410">
        <f t="shared" si="39"/>
        <v>134.0506</v>
      </c>
      <c r="K33" s="401">
        <f>SUM(K34:K35)</f>
        <v>30629213.539999999</v>
      </c>
      <c r="L33" s="409">
        <f>SUM(L34:L35)</f>
        <v>679233</v>
      </c>
      <c r="M33" s="410">
        <f t="shared" si="41"/>
        <v>135.9973</v>
      </c>
      <c r="N33" s="401">
        <f>SUM(N34:N35)</f>
        <v>92373862.390000001</v>
      </c>
      <c r="O33" s="409">
        <f>SUM(O34:O35)</f>
        <v>229592</v>
      </c>
      <c r="P33" s="410">
        <f t="shared" si="43"/>
        <v>120.7179</v>
      </c>
      <c r="Q33" s="401">
        <f>SUM(Q34:Q35)</f>
        <v>27715871.879999999</v>
      </c>
      <c r="R33" s="409">
        <f>SUM(R34:R35)</f>
        <v>197243</v>
      </c>
      <c r="S33" s="410">
        <f t="shared" si="44"/>
        <v>110.66459999999999</v>
      </c>
      <c r="T33" s="401">
        <f>SUM(T34:T35)</f>
        <v>21827821.530000001</v>
      </c>
      <c r="U33" s="409">
        <f>SUM(U34:U35)</f>
        <v>198799</v>
      </c>
      <c r="V33" s="410">
        <f t="shared" si="45"/>
        <v>103.6182</v>
      </c>
      <c r="W33" s="401">
        <f>SUM(W34:W35)</f>
        <v>20599190.719999999</v>
      </c>
      <c r="X33" s="409">
        <f>SUM(X34:X35)</f>
        <v>625634</v>
      </c>
      <c r="Y33" s="410">
        <f t="shared" si="47"/>
        <v>112.11490000000001</v>
      </c>
      <c r="Z33" s="401">
        <f>SUM(Z34:Z35)</f>
        <v>70142884.129999995</v>
      </c>
      <c r="AA33" s="409">
        <f>SUM(AA34:AA35)</f>
        <v>1304867</v>
      </c>
      <c r="AB33" s="410">
        <f t="shared" si="50"/>
        <v>124.5466</v>
      </c>
      <c r="AC33" s="401">
        <f t="shared" si="51"/>
        <v>162516746.52000001</v>
      </c>
      <c r="AD33" s="409">
        <f>SUM(AD34:AD35)</f>
        <v>172634</v>
      </c>
      <c r="AE33" s="410">
        <f t="shared" si="52"/>
        <v>107.8937</v>
      </c>
      <c r="AF33" s="401">
        <f>SUM(AF34:AF35)</f>
        <v>18626126.48</v>
      </c>
      <c r="AG33" s="409">
        <f>SUM(AG34:AG35)</f>
        <v>193411</v>
      </c>
      <c r="AH33" s="410">
        <f t="shared" si="53"/>
        <v>104.1995</v>
      </c>
      <c r="AI33" s="401">
        <f>SUM(AI34:AI35)</f>
        <v>20153332.879999999</v>
      </c>
      <c r="AJ33" s="409">
        <f>SUM(AJ34:AJ35)</f>
        <v>162508</v>
      </c>
      <c r="AK33" s="410">
        <f t="shared" si="54"/>
        <v>105.1382</v>
      </c>
      <c r="AL33" s="401">
        <f>SUM(AL34:AL35)</f>
        <v>17085803.309999999</v>
      </c>
      <c r="AM33" s="409">
        <f>SUM(AM34:AM35)</f>
        <v>528553</v>
      </c>
      <c r="AN33" s="410">
        <f t="shared" si="56"/>
        <v>105.6947</v>
      </c>
      <c r="AO33" s="401">
        <f>SUM(AO34:AO35)</f>
        <v>55865262.670000002</v>
      </c>
      <c r="AP33" s="409">
        <f>SUM(AP34:AP35)</f>
        <v>1833420</v>
      </c>
      <c r="AQ33" s="410">
        <f t="shared" si="58"/>
        <v>119.1118</v>
      </c>
      <c r="AR33" s="401">
        <f>SUM(AR34:AR35)</f>
        <v>218382009.19</v>
      </c>
      <c r="AS33" s="409">
        <f>SUM(AS34:AS35)</f>
        <v>177901</v>
      </c>
      <c r="AT33" s="410">
        <f t="shared" si="59"/>
        <v>120.57550000000001</v>
      </c>
      <c r="AU33" s="401">
        <f>SUM(AU34:AU35)</f>
        <v>21450499.539999999</v>
      </c>
      <c r="AV33" s="409">
        <f>SUM(AV34:AV35)</f>
        <v>198070</v>
      </c>
      <c r="AW33" s="410">
        <f t="shared" si="60"/>
        <v>102.2206</v>
      </c>
      <c r="AX33" s="401">
        <f>SUM(AX34:AX35)</f>
        <v>20246825.91</v>
      </c>
      <c r="AY33" s="409">
        <f>SUM(AY34:AY35)</f>
        <v>228111</v>
      </c>
      <c r="AZ33" s="410">
        <f t="shared" si="61"/>
        <v>124.58920000000001</v>
      </c>
      <c r="BA33" s="401">
        <f>SUM(BA34:BA35)</f>
        <v>28420172.960000001</v>
      </c>
      <c r="BB33" s="409">
        <f>SUM(BB34:BB35)</f>
        <v>604082</v>
      </c>
      <c r="BC33" s="410">
        <f t="shared" si="63"/>
        <v>116.0728</v>
      </c>
      <c r="BD33" s="401">
        <f>SUM(BD34:BD35)</f>
        <v>70117498.409999996</v>
      </c>
      <c r="BE33" s="409">
        <f>SUM(BE34:BE35)</f>
        <v>1712114</v>
      </c>
      <c r="BF33" s="410">
        <f t="shared" si="65"/>
        <v>102.7752</v>
      </c>
      <c r="BG33" s="401">
        <f>SUM(BG34:BG35)</f>
        <v>175962824.83000001</v>
      </c>
      <c r="BH33" s="409">
        <f>SUM(BH34:BH35)</f>
        <v>2437502</v>
      </c>
      <c r="BI33" s="410">
        <f>BJ33/BH33</f>
        <v>118.3587</v>
      </c>
      <c r="BJ33" s="401">
        <f>SUM(BJ34:BJ35)</f>
        <v>288499507.60000002</v>
      </c>
    </row>
    <row r="34" spans="1:64" x14ac:dyDescent="0.2">
      <c r="A34" s="411" t="s">
        <v>928</v>
      </c>
      <c r="B34" s="398" t="s">
        <v>922</v>
      </c>
      <c r="C34" s="412">
        <f>C16-'[1]не распр'!C14</f>
        <v>2829</v>
      </c>
      <c r="D34" s="413">
        <f t="shared" si="37"/>
        <v>3032.63</v>
      </c>
      <c r="E34" s="414">
        <f>E16-'[1]не распр'!C27</f>
        <v>8579310.2699999996</v>
      </c>
      <c r="F34" s="412">
        <f>F16-'[1]не распр'!D14</f>
        <v>2720</v>
      </c>
      <c r="G34" s="413">
        <f t="shared" si="38"/>
        <v>3502.94</v>
      </c>
      <c r="H34" s="414">
        <f>H16-'[1]не распр'!D27</f>
        <v>9527996.8000000007</v>
      </c>
      <c r="I34" s="412">
        <f>I16-'[1]не распр'!E14</f>
        <v>2510</v>
      </c>
      <c r="J34" s="413">
        <f t="shared" si="39"/>
        <v>3502.94</v>
      </c>
      <c r="K34" s="414">
        <f>K16-'[1]не распр'!E27</f>
        <v>8792379.4000000004</v>
      </c>
      <c r="L34" s="412">
        <f>C34+F34+I34</f>
        <v>8059</v>
      </c>
      <c r="M34" s="413">
        <f t="shared" si="41"/>
        <v>3337.8442</v>
      </c>
      <c r="N34" s="414">
        <f>E34+H34+K34</f>
        <v>26899686.469999999</v>
      </c>
      <c r="O34" s="412">
        <f>O16-'[1]не распр'!G14</f>
        <v>1494</v>
      </c>
      <c r="P34" s="413">
        <f t="shared" si="43"/>
        <v>3502.94</v>
      </c>
      <c r="Q34" s="414">
        <f>Q16-'[1]не распр'!G27</f>
        <v>5233392.3600000003</v>
      </c>
      <c r="R34" s="412">
        <f>R16-'[1]не распр'!H14</f>
        <v>896</v>
      </c>
      <c r="S34" s="413">
        <f t="shared" si="44"/>
        <v>3502.94</v>
      </c>
      <c r="T34" s="414">
        <f>T16-'[1]не распр'!H27</f>
        <v>3138634.24</v>
      </c>
      <c r="U34" s="412">
        <f>U16-'[1]не распр'!I14</f>
        <v>759</v>
      </c>
      <c r="V34" s="413">
        <f t="shared" si="45"/>
        <v>3502.94</v>
      </c>
      <c r="W34" s="414">
        <f>W16-'[1]не распр'!I27</f>
        <v>2658731.46</v>
      </c>
      <c r="X34" s="412">
        <f>O34+R34+U34</f>
        <v>3149</v>
      </c>
      <c r="Y34" s="413">
        <f t="shared" si="47"/>
        <v>3502.94</v>
      </c>
      <c r="Z34" s="414">
        <f>Q34+T34+W34</f>
        <v>11030758.060000001</v>
      </c>
      <c r="AA34" s="412">
        <f>C34+F34+I34+O34+R34+U34</f>
        <v>11208</v>
      </c>
      <c r="AB34" s="413">
        <f t="shared" si="50"/>
        <v>3384.2294999999999</v>
      </c>
      <c r="AC34" s="414">
        <f t="shared" si="51"/>
        <v>37930444.530000001</v>
      </c>
      <c r="AD34" s="412">
        <f>AD16-'[1]не распр'!L14</f>
        <v>704</v>
      </c>
      <c r="AE34" s="413">
        <f t="shared" si="52"/>
        <v>3502.94</v>
      </c>
      <c r="AF34" s="414">
        <f>AF16-'[1]не распр'!L27</f>
        <v>2466069.7599999998</v>
      </c>
      <c r="AG34" s="412">
        <f>AG16-'[1]не распр'!M14</f>
        <v>547</v>
      </c>
      <c r="AH34" s="413">
        <f t="shared" si="53"/>
        <v>3502.94</v>
      </c>
      <c r="AI34" s="414">
        <f>AI16-'[1]не распр'!M27</f>
        <v>1916108.18</v>
      </c>
      <c r="AJ34" s="412">
        <f>AJ16-'[1]не распр'!N14</f>
        <v>549</v>
      </c>
      <c r="AK34" s="413">
        <f t="shared" si="54"/>
        <v>3502.94</v>
      </c>
      <c r="AL34" s="414">
        <f>AL16-'[1]не распр'!N27</f>
        <v>1923114.06</v>
      </c>
      <c r="AM34" s="412">
        <f>AD34+AG34+AJ34</f>
        <v>1800</v>
      </c>
      <c r="AN34" s="413">
        <f t="shared" si="56"/>
        <v>3502.94</v>
      </c>
      <c r="AO34" s="414">
        <f>AF34+AI34+AL34</f>
        <v>6305292</v>
      </c>
      <c r="AP34" s="412">
        <f t="shared" si="68"/>
        <v>13008</v>
      </c>
      <c r="AQ34" s="413">
        <f t="shared" si="58"/>
        <v>3400.6563000000001</v>
      </c>
      <c r="AR34" s="414">
        <f t="shared" si="68"/>
        <v>44235736.530000001</v>
      </c>
      <c r="AS34" s="412">
        <f>AS16-'[1]не распр'!Q14</f>
        <v>1422</v>
      </c>
      <c r="AT34" s="413">
        <f t="shared" si="59"/>
        <v>3502.94</v>
      </c>
      <c r="AU34" s="414">
        <f>AU16-'[1]не распр'!Q27</f>
        <v>4981180.68</v>
      </c>
      <c r="AV34" s="412">
        <f>AV16-'[1]не распр'!R14</f>
        <v>334</v>
      </c>
      <c r="AW34" s="413">
        <f t="shared" si="60"/>
        <v>3502.94</v>
      </c>
      <c r="AX34" s="414">
        <f>AX16-'[1]не распр'!R27</f>
        <v>1169981.96</v>
      </c>
      <c r="AY34" s="412">
        <f>AY16-'[1]не распр'!S14</f>
        <v>1822</v>
      </c>
      <c r="AZ34" s="413">
        <f t="shared" si="61"/>
        <v>3502.94</v>
      </c>
      <c r="BA34" s="414">
        <f>BA16-'[1]не распр'!S27</f>
        <v>6382356.6799999997</v>
      </c>
      <c r="BB34" s="412">
        <f>AS34+AV34+AY34</f>
        <v>3578</v>
      </c>
      <c r="BC34" s="413">
        <f t="shared" si="63"/>
        <v>3502.94</v>
      </c>
      <c r="BD34" s="414">
        <f>AU34+AX34+BA34</f>
        <v>12533519.32</v>
      </c>
      <c r="BE34" s="412">
        <f>BE16-'[1]не распр'!AV14</f>
        <v>5378</v>
      </c>
      <c r="BF34" s="413">
        <f t="shared" si="65"/>
        <v>3502.94</v>
      </c>
      <c r="BG34" s="414">
        <f>BG16-'[1]не распр'!AV27</f>
        <v>18838811.32</v>
      </c>
      <c r="BH34" s="412">
        <f>C34+F34+I34+O34+R34+U34+AD34+AG34+AJ34+AS34+AV34+AY34</f>
        <v>16586</v>
      </c>
      <c r="BI34" s="413">
        <f>BJ34/BH34</f>
        <v>3422.7213000000002</v>
      </c>
      <c r="BJ34" s="414">
        <f>E34+H34+K34+Q34+T34+W34+AF34+AI34+AL34+AU34+AX34+BA34</f>
        <v>56769255.850000001</v>
      </c>
    </row>
    <row r="35" spans="1:64" x14ac:dyDescent="0.2">
      <c r="A35" s="403" t="s">
        <v>929</v>
      </c>
      <c r="B35" s="398" t="s">
        <v>922</v>
      </c>
      <c r="C35" s="412">
        <f>C17-'[1]не распр'!C15</f>
        <v>235694</v>
      </c>
      <c r="D35" s="413">
        <f t="shared" si="37"/>
        <v>99.382499999999993</v>
      </c>
      <c r="E35" s="414">
        <f>E17-'[1]не распр'!C28</f>
        <v>23423864.780000001</v>
      </c>
      <c r="F35" s="412">
        <f>F17-'[1]не распр'!D15</f>
        <v>209500</v>
      </c>
      <c r="G35" s="413">
        <f t="shared" si="38"/>
        <v>96.484399999999994</v>
      </c>
      <c r="H35" s="414">
        <f>H17-'[1]не распр'!D28</f>
        <v>20213477</v>
      </c>
      <c r="I35" s="412">
        <f>I17-'[1]не распр'!E15</f>
        <v>225980</v>
      </c>
      <c r="J35" s="413">
        <f t="shared" si="39"/>
        <v>96.631699999999995</v>
      </c>
      <c r="K35" s="414">
        <f>K17-'[1]не распр'!E28</f>
        <v>21836834.140000001</v>
      </c>
      <c r="L35" s="412">
        <f>C35+F35+I35</f>
        <v>671174</v>
      </c>
      <c r="M35" s="413">
        <f t="shared" si="41"/>
        <v>97.551699999999997</v>
      </c>
      <c r="N35" s="414">
        <f>E35+H35+K35</f>
        <v>65474175.920000002</v>
      </c>
      <c r="O35" s="412">
        <f>O17-'[1]не распр'!G15</f>
        <v>228098</v>
      </c>
      <c r="P35" s="413">
        <f t="shared" si="43"/>
        <v>98.564999999999998</v>
      </c>
      <c r="Q35" s="414">
        <f>Q17-'[1]не распр'!G28</f>
        <v>22482479.52</v>
      </c>
      <c r="R35" s="412">
        <f>R17-'[1]не распр'!H15</f>
        <v>196347</v>
      </c>
      <c r="S35" s="413">
        <f t="shared" si="44"/>
        <v>95.1845</v>
      </c>
      <c r="T35" s="414">
        <f>T17-'[1]не распр'!H28</f>
        <v>18689187.289999999</v>
      </c>
      <c r="U35" s="412">
        <f>U17-'[1]не распр'!I15</f>
        <v>198040</v>
      </c>
      <c r="V35" s="413">
        <f t="shared" si="45"/>
        <v>90.590100000000007</v>
      </c>
      <c r="W35" s="414">
        <f>W17-'[1]не распр'!I28</f>
        <v>17940459.260000002</v>
      </c>
      <c r="X35" s="412">
        <f>O35+R35+U35</f>
        <v>622485</v>
      </c>
      <c r="Y35" s="413">
        <f t="shared" si="47"/>
        <v>94.961500000000001</v>
      </c>
      <c r="Z35" s="414">
        <f>Q35+T35+W35</f>
        <v>59112126.07</v>
      </c>
      <c r="AA35" s="412">
        <f>C35+F35+I35+O35+R35+U35</f>
        <v>1293659</v>
      </c>
      <c r="AB35" s="413">
        <f t="shared" si="50"/>
        <v>96.305400000000006</v>
      </c>
      <c r="AC35" s="414">
        <f t="shared" si="51"/>
        <v>124586301.98999999</v>
      </c>
      <c r="AD35" s="412">
        <f>AD17-'[1]не распр'!L15</f>
        <v>171930</v>
      </c>
      <c r="AE35" s="413">
        <f t="shared" si="52"/>
        <v>93.992099999999994</v>
      </c>
      <c r="AF35" s="414">
        <f>AF17-'[1]не распр'!L28</f>
        <v>16160056.720000001</v>
      </c>
      <c r="AG35" s="412">
        <f>AG17-'[1]не распр'!M15</f>
        <v>192864</v>
      </c>
      <c r="AH35" s="413">
        <f t="shared" si="53"/>
        <v>94.56</v>
      </c>
      <c r="AI35" s="414">
        <f>AI17-'[1]не распр'!M28</f>
        <v>18237224.699999999</v>
      </c>
      <c r="AJ35" s="412">
        <f>AJ17-'[1]не распр'!N15</f>
        <v>161959</v>
      </c>
      <c r="AK35" s="413">
        <f t="shared" si="54"/>
        <v>93.620500000000007</v>
      </c>
      <c r="AL35" s="414">
        <f>AL17-'[1]не распр'!N28</f>
        <v>15162689.25</v>
      </c>
      <c r="AM35" s="412">
        <f>AD35+AG35+AJ35</f>
        <v>526753</v>
      </c>
      <c r="AN35" s="413">
        <f t="shared" si="56"/>
        <v>94.085800000000006</v>
      </c>
      <c r="AO35" s="414">
        <f>AF35+AI35+AL35</f>
        <v>49559970.670000002</v>
      </c>
      <c r="AP35" s="412">
        <f t="shared" si="68"/>
        <v>1820412</v>
      </c>
      <c r="AQ35" s="413">
        <f t="shared" si="58"/>
        <v>95.6631</v>
      </c>
      <c r="AR35" s="414">
        <f t="shared" si="68"/>
        <v>174146272.66</v>
      </c>
      <c r="AS35" s="412">
        <f>AS17-'[1]не распр'!Q15</f>
        <v>176479</v>
      </c>
      <c r="AT35" s="413">
        <f t="shared" si="59"/>
        <v>93.321700000000007</v>
      </c>
      <c r="AU35" s="414">
        <f>AU17-'[1]не распр'!Q28</f>
        <v>16469318.859999999</v>
      </c>
      <c r="AV35" s="412">
        <f>AV17-'[1]не распр'!R15</f>
        <v>197736</v>
      </c>
      <c r="AW35" s="413">
        <f t="shared" si="60"/>
        <v>96.476299999999995</v>
      </c>
      <c r="AX35" s="414">
        <f>AX17-'[1]не распр'!R28</f>
        <v>19076843.949999999</v>
      </c>
      <c r="AY35" s="412">
        <f>AY17-'[1]не распр'!S15</f>
        <v>226289</v>
      </c>
      <c r="AZ35" s="413">
        <f t="shared" si="61"/>
        <v>97.387900000000002</v>
      </c>
      <c r="BA35" s="414">
        <f>BA17-'[1]не распр'!S28</f>
        <v>22037816.280000001</v>
      </c>
      <c r="BB35" s="412">
        <f>AS35+AV35+AY35</f>
        <v>600504</v>
      </c>
      <c r="BC35" s="413">
        <f t="shared" si="63"/>
        <v>95.892700000000005</v>
      </c>
      <c r="BD35" s="414">
        <f>AU35+AX35+BA35</f>
        <v>57583979.090000004</v>
      </c>
      <c r="BE35" s="412">
        <f>BE17-'[1]не распр'!AV15</f>
        <v>1706736</v>
      </c>
      <c r="BF35" s="413">
        <f t="shared" si="65"/>
        <v>92.061099999999996</v>
      </c>
      <c r="BG35" s="414">
        <f>BG17-'[1]не распр'!AV28</f>
        <v>157124013.50999999</v>
      </c>
      <c r="BH35" s="412">
        <f>C35+F35+I35+O35+R35+U35+AD35+AG35+AJ35+AS35+AV35+AY35</f>
        <v>2420916</v>
      </c>
      <c r="BI35" s="413">
        <f t="shared" si="69"/>
        <v>95.720100000000002</v>
      </c>
      <c r="BJ35" s="414">
        <f>E35+H35+K35+Q35+T35+W35+AF35+AI35+AL35+AU35+AX35+BA35</f>
        <v>231730251.75</v>
      </c>
      <c r="BL35" s="427">
        <f>BJ35/BL26</f>
        <v>4.4527708999999999E-3</v>
      </c>
    </row>
    <row r="36" spans="1:64" x14ac:dyDescent="0.2">
      <c r="E36" s="428"/>
      <c r="H36" s="428"/>
      <c r="K36" s="428"/>
      <c r="N36" s="428"/>
      <c r="Q36" s="428"/>
      <c r="T36" s="428"/>
      <c r="W36" s="428"/>
      <c r="Z36" s="428"/>
      <c r="AC36" s="428"/>
      <c r="AF36" s="428"/>
      <c r="AI36" s="428"/>
      <c r="AL36" s="428"/>
      <c r="AO36" s="428"/>
      <c r="AR36" s="428"/>
      <c r="AU36" s="428"/>
      <c r="AX36" s="428"/>
      <c r="BA36" s="428"/>
      <c r="BD36" s="428"/>
      <c r="BG36" s="428"/>
      <c r="BJ36" s="428"/>
    </row>
    <row r="37" spans="1:64" x14ac:dyDescent="0.2">
      <c r="A37" s="379" t="s">
        <v>933</v>
      </c>
      <c r="E37" s="407">
        <f>E8-E26</f>
        <v>16738418.41</v>
      </c>
      <c r="H37" s="407">
        <f>H8-H26</f>
        <v>7170040.75</v>
      </c>
      <c r="K37" s="407">
        <f>K8-K26</f>
        <v>8951555.1899999995</v>
      </c>
      <c r="N37" s="407">
        <f>N8-N26</f>
        <v>32860014.350000001</v>
      </c>
      <c r="Q37" s="407">
        <f>Q8-Q26</f>
        <v>8452848.9399999995</v>
      </c>
      <c r="T37" s="407">
        <f>T8-T26</f>
        <v>27266685.940000001</v>
      </c>
      <c r="W37" s="407"/>
      <c r="Z37" s="407">
        <f>Z8-Z26</f>
        <v>55053526.840000004</v>
      </c>
      <c r="AC37" s="407">
        <f>AC8-AC26</f>
        <v>87913541.189999998</v>
      </c>
      <c r="AF37" s="407">
        <f>AF8-AF26</f>
        <v>22644581.34</v>
      </c>
      <c r="AI37" s="407">
        <f>AI8-AI26</f>
        <v>15308613.859999999</v>
      </c>
      <c r="AL37" s="407">
        <f>AL8-AL26</f>
        <v>8098789.8499999996</v>
      </c>
      <c r="AO37" s="407"/>
      <c r="AR37" s="407"/>
      <c r="AU37" s="407">
        <f>AU8-AU26</f>
        <v>22112261.329999998</v>
      </c>
      <c r="AX37" s="407">
        <f>AX8-AX26</f>
        <v>40966890.659999996</v>
      </c>
      <c r="BA37" s="407">
        <f>BA8-BA26</f>
        <v>25253955.469999999</v>
      </c>
      <c r="BD37" s="407"/>
      <c r="BG37" s="407"/>
      <c r="BJ37" s="407"/>
    </row>
    <row r="38" spans="1:64" x14ac:dyDescent="0.2">
      <c r="A38" s="379" t="s">
        <v>933</v>
      </c>
      <c r="E38" s="407">
        <f>'[1]не распр'!C29</f>
        <v>16738418.41</v>
      </c>
      <c r="H38" s="407">
        <f>'[1]не распр'!D29</f>
        <v>7170040.75</v>
      </c>
      <c r="K38" s="407">
        <f>'[1]не распр'!E29</f>
        <v>8951555.1899999995</v>
      </c>
      <c r="N38" s="407">
        <f>'[1]не распр'!F29</f>
        <v>32860014.350000001</v>
      </c>
      <c r="Q38" s="407">
        <f>'[1]не распр'!G29</f>
        <v>8452848.9399999995</v>
      </c>
      <c r="T38" s="407">
        <f>'[1]не распр'!H29</f>
        <v>27266685.940000001</v>
      </c>
      <c r="W38" s="407"/>
      <c r="Z38" s="407">
        <f>'[1]не распр'!J29</f>
        <v>55053526.840000004</v>
      </c>
      <c r="AC38" s="407">
        <f>'[1]не распр'!K29</f>
        <v>87913541.189999998</v>
      </c>
      <c r="AF38" s="407">
        <f>'[1]не распр'!L29</f>
        <v>0</v>
      </c>
      <c r="AI38" s="407">
        <f>'[1]не распр'!M29</f>
        <v>0</v>
      </c>
      <c r="AL38" s="407">
        <f>'[1]не распр'!N29</f>
        <v>0</v>
      </c>
      <c r="AO38" s="407"/>
      <c r="AR38" s="407"/>
      <c r="AU38" s="407">
        <f>'[1]не распр'!Q29</f>
        <v>0</v>
      </c>
      <c r="AX38" s="407">
        <f>'[1]не распр'!R29</f>
        <v>0</v>
      </c>
      <c r="BA38" s="407">
        <f>'[1]не распр'!S29</f>
        <v>0</v>
      </c>
      <c r="BD38" s="407"/>
      <c r="BG38" s="407"/>
      <c r="BJ38" s="407"/>
    </row>
    <row r="39" spans="1:64" x14ac:dyDescent="0.2">
      <c r="BD39" s="488" t="s">
        <v>934</v>
      </c>
      <c r="BE39" s="488"/>
      <c r="BF39" s="488"/>
      <c r="BG39" s="488"/>
      <c r="BJ39" s="488" t="s">
        <v>935</v>
      </c>
      <c r="BK39" s="488"/>
      <c r="BL39" s="488"/>
    </row>
    <row r="40" spans="1:64" x14ac:dyDescent="0.2">
      <c r="BD40" s="395" t="s">
        <v>936</v>
      </c>
      <c r="BE40" s="395" t="s">
        <v>937</v>
      </c>
      <c r="BG40" s="395" t="s">
        <v>938</v>
      </c>
      <c r="BH40" s="395"/>
      <c r="BJ40" s="395" t="s">
        <v>936</v>
      </c>
      <c r="BK40" s="395" t="s">
        <v>937</v>
      </c>
      <c r="BL40" s="395" t="s">
        <v>938</v>
      </c>
    </row>
    <row r="41" spans="1:64" x14ac:dyDescent="0.2">
      <c r="A41" s="379" t="s">
        <v>917</v>
      </c>
      <c r="E41" s="395"/>
      <c r="O41" s="379">
        <f>O9-O27</f>
        <v>0</v>
      </c>
      <c r="P41" s="379">
        <f>P9-P27</f>
        <v>0</v>
      </c>
      <c r="Q41" s="379">
        <f>Q9-Q27</f>
        <v>0</v>
      </c>
      <c r="BD41" s="395">
        <f>[3]товар!BH27</f>
        <v>3996254375</v>
      </c>
      <c r="BE41" s="395">
        <f t="shared" ref="BE41:BE46" si="70">BH27</f>
        <v>4078472974</v>
      </c>
      <c r="BG41" s="395">
        <f t="shared" ref="BG41:BG48" si="71">BE41-BD41</f>
        <v>82218599</v>
      </c>
      <c r="BH41" s="395"/>
      <c r="BJ41" s="429">
        <f>[3]товар!BJ27/1000</f>
        <v>56289848</v>
      </c>
      <c r="BK41" s="429">
        <f t="shared" ref="BK41:BK46" si="72">BJ27/1000</f>
        <v>47868081</v>
      </c>
      <c r="BL41" s="429">
        <f t="shared" ref="BL41:BL48" si="73">BK41-BJ41</f>
        <v>-8421767</v>
      </c>
    </row>
    <row r="42" spans="1:64" x14ac:dyDescent="0.2">
      <c r="A42" s="379" t="s">
        <v>919</v>
      </c>
      <c r="C42" s="430"/>
      <c r="D42" s="430"/>
      <c r="E42" s="429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0"/>
      <c r="AT42" s="430"/>
      <c r="AU42" s="430"/>
      <c r="AV42" s="430"/>
      <c r="AW42" s="430"/>
      <c r="AX42" s="430"/>
      <c r="AY42" s="430"/>
      <c r="AZ42" s="430"/>
      <c r="BA42" s="430"/>
      <c r="BB42" s="430"/>
      <c r="BC42" s="430"/>
      <c r="BD42" s="395">
        <f>[3]товар!BH28</f>
        <v>868022</v>
      </c>
      <c r="BE42" s="395">
        <f t="shared" si="70"/>
        <v>861260</v>
      </c>
      <c r="BG42" s="395">
        <f t="shared" si="71"/>
        <v>-6762</v>
      </c>
      <c r="BH42" s="429"/>
      <c r="BJ42" s="429">
        <f>[3]товар!BJ28/1000</f>
        <v>1806609</v>
      </c>
      <c r="BK42" s="429">
        <f t="shared" si="72"/>
        <v>1852014</v>
      </c>
      <c r="BL42" s="429">
        <f t="shared" si="73"/>
        <v>45405</v>
      </c>
    </row>
    <row r="43" spans="1:64" x14ac:dyDescent="0.2">
      <c r="A43" s="379" t="s">
        <v>921</v>
      </c>
      <c r="C43" s="430"/>
      <c r="D43" s="430"/>
      <c r="E43" s="429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30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395">
        <f>[3]товар!BH29</f>
        <v>11762947</v>
      </c>
      <c r="BE43" s="395">
        <f t="shared" si="70"/>
        <v>12644073</v>
      </c>
      <c r="BG43" s="395">
        <f t="shared" si="71"/>
        <v>881126</v>
      </c>
      <c r="BH43" s="429"/>
      <c r="BJ43" s="429">
        <f>[3]товар!BJ29/1000</f>
        <v>1902444</v>
      </c>
      <c r="BK43" s="429">
        <f t="shared" si="72"/>
        <v>1965283</v>
      </c>
      <c r="BL43" s="429">
        <f t="shared" si="73"/>
        <v>62839</v>
      </c>
    </row>
    <row r="44" spans="1:64" x14ac:dyDescent="0.2">
      <c r="A44" s="379" t="s">
        <v>923</v>
      </c>
      <c r="C44" s="430"/>
      <c r="D44" s="430"/>
      <c r="E44" s="429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  <c r="BA44" s="430"/>
      <c r="BB44" s="430"/>
      <c r="BC44" s="430"/>
      <c r="BD44" s="395">
        <f>[3]товар!BH30</f>
        <v>2849525</v>
      </c>
      <c r="BE44" s="395">
        <f t="shared" si="70"/>
        <v>2572104</v>
      </c>
      <c r="BG44" s="395">
        <f t="shared" si="71"/>
        <v>-277421</v>
      </c>
      <c r="BH44" s="429"/>
      <c r="BJ44" s="429">
        <f>[3]товар!BJ30/1000</f>
        <v>137594</v>
      </c>
      <c r="BK44" s="429">
        <f t="shared" si="72"/>
        <v>124700</v>
      </c>
      <c r="BL44" s="429">
        <f t="shared" si="73"/>
        <v>-12894</v>
      </c>
    </row>
    <row r="45" spans="1:64" x14ac:dyDescent="0.2">
      <c r="A45" s="379" t="s">
        <v>924</v>
      </c>
      <c r="C45" s="430"/>
      <c r="D45" s="430"/>
      <c r="E45" s="429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0"/>
      <c r="AL45" s="430"/>
      <c r="AM45" s="430"/>
      <c r="AN45" s="430"/>
      <c r="AO45" s="430"/>
      <c r="AP45" s="430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30"/>
      <c r="BC45" s="430"/>
      <c r="BD45" s="395">
        <f>[3]товар!BH31</f>
        <v>1794534</v>
      </c>
      <c r="BE45" s="395">
        <f t="shared" si="70"/>
        <v>1740538</v>
      </c>
      <c r="BG45" s="395">
        <f t="shared" si="71"/>
        <v>-53996</v>
      </c>
      <c r="BH45" s="429"/>
      <c r="BJ45" s="429">
        <f>[3]товар!BJ31/1000</f>
        <v>305071</v>
      </c>
      <c r="BK45" s="429">
        <f t="shared" si="72"/>
        <v>295891</v>
      </c>
      <c r="BL45" s="429">
        <f t="shared" si="73"/>
        <v>-9180</v>
      </c>
    </row>
    <row r="46" spans="1:64" x14ac:dyDescent="0.2">
      <c r="A46" s="379" t="s">
        <v>925</v>
      </c>
      <c r="C46" s="430"/>
      <c r="D46" s="430"/>
      <c r="E46" s="429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  <c r="BA46" s="430"/>
      <c r="BB46" s="430"/>
      <c r="BC46" s="430"/>
      <c r="BD46" s="395">
        <f>[3]товар!BH32</f>
        <v>201135</v>
      </c>
      <c r="BE46" s="395">
        <f t="shared" si="70"/>
        <v>202494</v>
      </c>
      <c r="BG46" s="395">
        <f t="shared" si="71"/>
        <v>1359</v>
      </c>
      <c r="BH46" s="429"/>
      <c r="BJ46" s="429">
        <f>[3]товар!BJ32/1000</f>
        <v>240343</v>
      </c>
      <c r="BK46" s="429">
        <f t="shared" si="72"/>
        <v>246030</v>
      </c>
      <c r="BL46" s="429">
        <f t="shared" si="73"/>
        <v>5687</v>
      </c>
    </row>
    <row r="47" spans="1:64" x14ac:dyDescent="0.2">
      <c r="A47" s="379" t="s">
        <v>928</v>
      </c>
      <c r="C47" s="430"/>
      <c r="D47" s="430"/>
      <c r="E47" s="429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429">
        <f>[3]товар!BH34</f>
        <v>36644</v>
      </c>
      <c r="BE47" s="429">
        <f>BH34</f>
        <v>16586</v>
      </c>
      <c r="BG47" s="395">
        <f t="shared" si="71"/>
        <v>-20058</v>
      </c>
      <c r="BH47" s="429"/>
      <c r="BJ47" s="429">
        <f>[3]товар!BJ34/1000</f>
        <v>111128</v>
      </c>
      <c r="BK47" s="429">
        <f>BJ34/1000</f>
        <v>56769</v>
      </c>
      <c r="BL47" s="429">
        <f t="shared" si="73"/>
        <v>-54359</v>
      </c>
    </row>
    <row r="48" spans="1:64" x14ac:dyDescent="0.2">
      <c r="A48" s="379" t="s">
        <v>929</v>
      </c>
      <c r="C48" s="430"/>
      <c r="D48" s="430"/>
      <c r="E48" s="429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  <c r="BA48" s="430"/>
      <c r="BB48" s="430"/>
      <c r="BC48" s="430"/>
      <c r="BD48" s="429">
        <f>[3]товар!BH35</f>
        <v>2351399</v>
      </c>
      <c r="BE48" s="429">
        <f>BH35</f>
        <v>2420916</v>
      </c>
      <c r="BG48" s="395">
        <f t="shared" si="71"/>
        <v>69517</v>
      </c>
      <c r="BH48" s="429"/>
      <c r="BJ48" s="429">
        <f>[3]товар!BJ35/1000</f>
        <v>224521</v>
      </c>
      <c r="BK48" s="429">
        <f>BJ35/1000</f>
        <v>231730</v>
      </c>
      <c r="BL48" s="429">
        <f t="shared" si="73"/>
        <v>7209</v>
      </c>
    </row>
    <row r="49" spans="1:62" x14ac:dyDescent="0.2">
      <c r="C49" s="430"/>
      <c r="D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29"/>
      <c r="BE49" s="429"/>
      <c r="BF49" s="430"/>
      <c r="BG49" s="429"/>
      <c r="BH49" s="429"/>
      <c r="BI49" s="430"/>
      <c r="BJ49" s="430"/>
    </row>
    <row r="50" spans="1:62" x14ac:dyDescent="0.2"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0"/>
      <c r="AD50" s="430"/>
      <c r="AE50" s="430"/>
      <c r="AF50" s="430"/>
      <c r="AG50" s="430"/>
      <c r="AH50" s="430"/>
      <c r="AI50" s="430"/>
      <c r="AJ50" s="430"/>
      <c r="AK50" s="430"/>
      <c r="AL50" s="430"/>
      <c r="AM50" s="430"/>
      <c r="AN50" s="430"/>
      <c r="AO50" s="430"/>
      <c r="AP50" s="430"/>
      <c r="AQ50" s="430"/>
      <c r="AR50" s="430"/>
      <c r="AS50" s="430"/>
      <c r="AT50" s="430"/>
      <c r="AU50" s="430"/>
      <c r="AV50" s="430"/>
      <c r="AW50" s="430"/>
      <c r="AX50" s="430"/>
      <c r="AY50" s="430"/>
      <c r="AZ50" s="430"/>
      <c r="BA50" s="430"/>
      <c r="BB50" s="430"/>
      <c r="BC50" s="430"/>
      <c r="BD50" s="430"/>
      <c r="BE50" s="430"/>
      <c r="BF50" s="430"/>
      <c r="BG50" s="430"/>
      <c r="BH50" s="430"/>
      <c r="BI50" s="430"/>
      <c r="BJ50" s="430"/>
    </row>
    <row r="51" spans="1:62" x14ac:dyDescent="0.2">
      <c r="C51" s="394"/>
      <c r="F51" s="394"/>
      <c r="I51" s="394"/>
      <c r="L51" s="394"/>
      <c r="O51" s="394"/>
      <c r="R51" s="394"/>
      <c r="U51" s="394"/>
      <c r="X51" s="394"/>
      <c r="AA51" s="394"/>
      <c r="AD51" s="394"/>
      <c r="AG51" s="394"/>
      <c r="AJ51" s="394"/>
      <c r="AM51" s="394"/>
      <c r="AP51" s="394"/>
      <c r="AS51" s="394"/>
      <c r="AV51" s="394"/>
      <c r="AY51" s="394"/>
      <c r="BB51" s="394"/>
      <c r="BE51" s="394"/>
      <c r="BH51" s="394"/>
    </row>
    <row r="52" spans="1:62" x14ac:dyDescent="0.2">
      <c r="A52" s="402"/>
      <c r="B52" s="402"/>
      <c r="C52" s="394"/>
      <c r="D52" s="402"/>
      <c r="E52" s="402"/>
      <c r="F52" s="394"/>
      <c r="G52" s="402"/>
      <c r="H52" s="402"/>
      <c r="I52" s="394"/>
      <c r="J52" s="402"/>
      <c r="K52" s="402"/>
      <c r="L52" s="394"/>
      <c r="M52" s="402"/>
      <c r="N52" s="402"/>
      <c r="O52" s="394"/>
      <c r="P52" s="402"/>
      <c r="Q52" s="402"/>
      <c r="R52" s="394"/>
      <c r="S52" s="402"/>
      <c r="T52" s="402"/>
      <c r="U52" s="394"/>
      <c r="V52" s="402"/>
      <c r="W52" s="402"/>
      <c r="X52" s="394"/>
      <c r="Y52" s="402"/>
      <c r="Z52" s="402"/>
      <c r="AA52" s="394"/>
      <c r="AB52" s="402"/>
      <c r="AC52" s="402"/>
      <c r="AD52" s="394"/>
      <c r="AE52" s="402"/>
      <c r="AF52" s="402"/>
      <c r="AG52" s="394"/>
      <c r="AH52" s="402"/>
      <c r="AI52" s="402"/>
      <c r="AJ52" s="394"/>
      <c r="AK52" s="402"/>
      <c r="AL52" s="402"/>
      <c r="AM52" s="394"/>
      <c r="AN52" s="402"/>
      <c r="AO52" s="402"/>
      <c r="AP52" s="394"/>
      <c r="AQ52" s="402"/>
      <c r="AR52" s="402"/>
      <c r="AS52" s="394"/>
      <c r="AT52" s="402"/>
      <c r="AU52" s="402"/>
      <c r="AV52" s="394"/>
      <c r="AW52" s="402"/>
      <c r="AX52" s="402"/>
      <c r="AY52" s="394"/>
      <c r="AZ52" s="402"/>
      <c r="BA52" s="402"/>
      <c r="BB52" s="394"/>
      <c r="BC52" s="402"/>
      <c r="BD52" s="402"/>
      <c r="BE52" s="394"/>
      <c r="BF52" s="402"/>
      <c r="BG52" s="402"/>
      <c r="BH52" s="394"/>
      <c r="BI52" s="402"/>
      <c r="BJ52" s="402"/>
    </row>
    <row r="53" spans="1:62" s="402" customFormat="1" x14ac:dyDescent="0.2">
      <c r="A53" s="379"/>
      <c r="B53" s="379"/>
      <c r="C53" s="394"/>
      <c r="D53" s="379"/>
      <c r="E53" s="379"/>
      <c r="F53" s="394"/>
      <c r="G53" s="379"/>
      <c r="H53" s="379"/>
      <c r="I53" s="394"/>
      <c r="J53" s="379"/>
      <c r="K53" s="379"/>
      <c r="L53" s="394"/>
      <c r="M53" s="379"/>
      <c r="N53" s="379"/>
      <c r="O53" s="394"/>
      <c r="P53" s="379"/>
      <c r="Q53" s="379"/>
      <c r="R53" s="394"/>
      <c r="S53" s="379"/>
      <c r="T53" s="379"/>
      <c r="U53" s="394"/>
      <c r="V53" s="379"/>
      <c r="W53" s="379"/>
      <c r="X53" s="394"/>
      <c r="Y53" s="379"/>
      <c r="Z53" s="379"/>
      <c r="AA53" s="394"/>
      <c r="AB53" s="379"/>
      <c r="AC53" s="379"/>
      <c r="AD53" s="394"/>
      <c r="AE53" s="379"/>
      <c r="AF53" s="379"/>
      <c r="AG53" s="394"/>
      <c r="AH53" s="379"/>
      <c r="AI53" s="379"/>
      <c r="AJ53" s="394"/>
      <c r="AK53" s="379"/>
      <c r="AL53" s="379"/>
      <c r="AM53" s="394"/>
      <c r="AN53" s="379"/>
      <c r="AO53" s="379"/>
      <c r="AP53" s="394"/>
      <c r="AQ53" s="379"/>
      <c r="AR53" s="379"/>
      <c r="AS53" s="394"/>
      <c r="AT53" s="379"/>
      <c r="AU53" s="379"/>
      <c r="AV53" s="394"/>
      <c r="AW53" s="379"/>
      <c r="AX53" s="379"/>
      <c r="AY53" s="394"/>
      <c r="AZ53" s="379"/>
      <c r="BA53" s="379"/>
      <c r="BB53" s="394"/>
      <c r="BC53" s="379"/>
      <c r="BD53" s="379"/>
      <c r="BE53" s="394"/>
      <c r="BF53" s="379"/>
      <c r="BG53" s="379"/>
      <c r="BH53" s="394"/>
      <c r="BI53" s="379"/>
      <c r="BJ53" s="379"/>
    </row>
  </sheetData>
  <mergeCells count="46">
    <mergeCell ref="AD6:AF6"/>
    <mergeCell ref="A6:A8"/>
    <mergeCell ref="B6:B8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Y6:BA6"/>
    <mergeCell ref="BB6:BD6"/>
    <mergeCell ref="BE6:BG6"/>
    <mergeCell ref="BH6:BJ6"/>
    <mergeCell ref="A24:A26"/>
    <mergeCell ref="B24:B26"/>
    <mergeCell ref="C24:E24"/>
    <mergeCell ref="F24:H24"/>
    <mergeCell ref="I24:K24"/>
    <mergeCell ref="L24:N24"/>
    <mergeCell ref="AG6:AI6"/>
    <mergeCell ref="AJ6:AL6"/>
    <mergeCell ref="AM6:AO6"/>
    <mergeCell ref="AP6:AR6"/>
    <mergeCell ref="AS6:AU6"/>
    <mergeCell ref="AV6:AX6"/>
    <mergeCell ref="AV24:AX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Y24:BA24"/>
    <mergeCell ref="BB24:BD24"/>
    <mergeCell ref="BE24:BG24"/>
    <mergeCell ref="BH24:BJ24"/>
    <mergeCell ref="BD39:BG39"/>
    <mergeCell ref="BJ39:BL39"/>
  </mergeCells>
  <printOptions horizontalCentered="1"/>
  <pageMargins left="0.19685039370078741" right="0.19685039370078741" top="1.1811023622047245" bottom="0.19685039370078741" header="0.51181102362204722" footer="0.51181102362204722"/>
  <pageSetup paperSize="9" scale="210" orientation="landscape" r:id="rId1"/>
  <headerFooter alignWithMargins="0"/>
  <colBreaks count="2" manualBreakCount="2">
    <brk id="14" max="1048575" man="1"/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Тепло </vt:lpstr>
      <vt:lpstr>ПВ</vt:lpstr>
      <vt:lpstr>ТВ</vt:lpstr>
      <vt:lpstr>ГВ</vt:lpstr>
      <vt:lpstr>МВ</vt:lpstr>
      <vt:lpstr>форма ДАРЕМ</vt:lpstr>
      <vt:lpstr>доход 2019</vt:lpstr>
      <vt:lpstr>ГВ!Заголовки_для_печати</vt:lpstr>
      <vt:lpstr>ПВ!Заголовки_для_печати</vt:lpstr>
      <vt:lpstr>ТВ!Заголовки_для_печати</vt:lpstr>
      <vt:lpstr>'Тепло '!Заголовки_для_печати</vt:lpstr>
      <vt:lpstr>ГВ!Область_печати</vt:lpstr>
      <vt:lpstr>ПВ!Область_печати</vt:lpstr>
      <vt:lpstr>'Тепло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2020-03-26T09:24:16Z</dcterms:modified>
</cp:coreProperties>
</file>